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8.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9.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Ex1.xml" ContentType="application/vnd.ms-office.chartex+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9.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PLANEACION\Desktop\PLANEACION\PLANEACION 2023\PLANEACION\SEGUIMIENTO AL POAI -PDI\SEGUIMIENTO POAI 2022\"/>
    </mc:Choice>
  </mc:AlternateContent>
  <xr:revisionPtr revIDLastSave="0" documentId="13_ncr:1_{9FF0EF6F-7E94-4CD4-AF72-0D63964E5D84}" xr6:coauthVersionLast="47" xr6:coauthVersionMax="47" xr10:uidLastSave="{00000000-0000-0000-0000-000000000000}"/>
  <workbookProtection workbookAlgorithmName="SHA-512" workbookHashValue="C5GDeooE3Weouqq3phZ+tXXn5oj759B+eG+nOsNZgzWjwWBrr/QiIe+7HOHymHI83cgpxrQYWGIIWHN/LPTPdw==" workbookSaltValue="UgMJHwvXME8g1uNYmB83iA==" workbookSpinCount="100000" lockStructure="1"/>
  <bookViews>
    <workbookView xWindow="-120" yWindow="-120" windowWidth="29040" windowHeight="15720" tabRatio="581" xr2:uid="{00000000-000D-0000-FFFF-FFFF00000000}"/>
  </bookViews>
  <sheets>
    <sheet name="POAI 2022 " sheetId="5" r:id="rId1"/>
    <sheet name="SEGUNDO TRIMESTRE" sheetId="36" state="hidden" r:id="rId2"/>
    <sheet name="TERCER TRIMESTRE_x0009_" sheetId="39" state="hidden" r:id="rId3"/>
    <sheet name="CUARTO TRIMESTRE" sheetId="41" state="hidden" r:id="rId4"/>
    <sheet name="consolidado activ trimestres" sheetId="31" state="hidden" r:id="rId5"/>
    <sheet name="consolidad finaciero2022" sheetId="30" state="hidden" r:id="rId6"/>
    <sheet name="PLAN DE GESTIÓN" sheetId="34" state="hidden" r:id="rId7"/>
    <sheet name="avances del plan" sheetId="32" state="hidden" r:id="rId8"/>
    <sheet name=" GRAFICOS 1 TRIMESTRE" sheetId="35" state="hidden" r:id="rId9"/>
    <sheet name="GRAFICOS 1 -2 TRIMESTRE" sheetId="37" state="hidden" r:id="rId10"/>
    <sheet name="GRAFICOS TERCER TRIMESTRE" sheetId="38" state="hidden" r:id="rId11"/>
    <sheet name="GRAFICOS 4 TRIMESTRE" sheetId="40" r:id="rId12"/>
    <sheet name="LINEA 1_x0009_SEGUIMIENTO DEL PLAN OP" sheetId="14" state="hidden" r:id="rId13"/>
    <sheet name="LINEA 2 SEGUIMIENTO DEL POAI" sheetId="15" state="hidden" r:id="rId14"/>
    <sheet name="LINEA3 SEGUIMIENTO DE POAI" sheetId="19" state="hidden" r:id="rId15"/>
    <sheet name="LINEA 4 SEGUIMIENTO DEL POAI" sheetId="20" state="hidden" r:id="rId16"/>
    <sheet name="LINEA5 SEGUIMIENTO POAI" sheetId="21" state="hidden" r:id="rId17"/>
    <sheet name="LINEA 6 SEGUIMIENTO DEL POAI" sheetId="22" state="hidden" r:id="rId18"/>
    <sheet name="LINEA7 SEGUIMIENTO DEL POAI " sheetId="23" state="hidden" r:id="rId19"/>
    <sheet name="LINEA8 SEGUIMIENTO DEL POAI" sheetId="24" state="hidden" r:id="rId20"/>
    <sheet name="RESUMEN LINEAS-POAI" sheetId="25" state="hidden" r:id="rId21"/>
    <sheet name="COSOLIDADO POAI" sheetId="26" state="hidden" r:id="rId22"/>
    <sheet name="PRESENTACIÓN" sheetId="27" state="hidden" r:id="rId23"/>
    <sheet name="DESGLOSE LINEA 2" sheetId="29" state="hidden" r:id="rId24"/>
    <sheet name="DESGLOSE LINEA 3" sheetId="28" state="hidden" r:id="rId25"/>
  </sheets>
  <externalReferences>
    <externalReference r:id="rId26"/>
    <externalReference r:id="rId27"/>
    <externalReference r:id="rId28"/>
    <externalReference r:id="rId29"/>
    <externalReference r:id="rId30"/>
  </externalReferences>
  <definedNames>
    <definedName name="_xlnm._FilterDatabase" localSheetId="0" hidden="1">'POAI 2022 '!$A$6:$T$7</definedName>
    <definedName name="_xlchart.v1.0" hidden="1">'GRAFICOS 4 TRIMESTRE'!$O$18</definedName>
    <definedName name="_xlchart.v1.1" hidden="1">'GRAFICOS 4 TRIMESTRE'!$O$19</definedName>
    <definedName name="Administrativos">'[1]Datos seguridad social'!$C$5:$C$515</definedName>
    <definedName name="asignacionbasica">'[1]Datos seguridad social'!$J$5:$J$515</definedName>
    <definedName name="Asistenciales">'[1]Datos seguridad social'!$D$5:$D$515</definedName>
    <definedName name="Extras">'[1]Datos seguridad social'!$K$5:$K$515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1" i="31" l="1"/>
  <c r="J91" i="31"/>
  <c r="E91" i="31"/>
  <c r="C91" i="31"/>
  <c r="B91" i="31"/>
  <c r="O89" i="31"/>
  <c r="N89" i="31"/>
  <c r="D89" i="31"/>
  <c r="F89" i="31" s="1"/>
  <c r="K89" i="31" s="1"/>
  <c r="M89" i="31" s="1"/>
  <c r="O88" i="31"/>
  <c r="N88" i="31"/>
  <c r="D88" i="31"/>
  <c r="F88" i="31" s="1"/>
  <c r="K88" i="31" s="1"/>
  <c r="M88" i="31" s="1"/>
  <c r="O87" i="31"/>
  <c r="N87" i="31"/>
  <c r="D87" i="31"/>
  <c r="F87" i="31" s="1"/>
  <c r="K87" i="31" s="1"/>
  <c r="M87" i="31" s="1"/>
  <c r="O86" i="31"/>
  <c r="N86" i="31"/>
  <c r="D86" i="31"/>
  <c r="F86" i="31" s="1"/>
  <c r="K86" i="31" s="1"/>
  <c r="M86" i="31" s="1"/>
  <c r="O84" i="31"/>
  <c r="N84" i="31"/>
  <c r="D84" i="31"/>
  <c r="F84" i="31" s="1"/>
  <c r="K84" i="31" s="1"/>
  <c r="M84" i="31" s="1"/>
  <c r="O83" i="31"/>
  <c r="N83" i="31"/>
  <c r="D83" i="31"/>
  <c r="F83" i="31" s="1"/>
  <c r="K83" i="31" s="1"/>
  <c r="M83" i="31" s="1"/>
  <c r="O81" i="31"/>
  <c r="N81" i="31"/>
  <c r="D81" i="31"/>
  <c r="F81" i="31" s="1"/>
  <c r="K81" i="31" s="1"/>
  <c r="M81" i="31" s="1"/>
  <c r="O80" i="31"/>
  <c r="N80" i="31"/>
  <c r="D80" i="31"/>
  <c r="F80" i="31" s="1"/>
  <c r="K80" i="31" s="1"/>
  <c r="M80" i="31" s="1"/>
  <c r="O79" i="31"/>
  <c r="N79" i="31"/>
  <c r="D79" i="31"/>
  <c r="F79" i="31" s="1"/>
  <c r="K79" i="31" s="1"/>
  <c r="M79" i="31" s="1"/>
  <c r="O77" i="31"/>
  <c r="N77" i="31"/>
  <c r="D77" i="31"/>
  <c r="F77" i="31" s="1"/>
  <c r="K77" i="31" s="1"/>
  <c r="M77" i="31" s="1"/>
  <c r="O76" i="31"/>
  <c r="N76" i="31"/>
  <c r="D76" i="31"/>
  <c r="F76" i="31" s="1"/>
  <c r="K76" i="31" s="1"/>
  <c r="M76" i="31" s="1"/>
  <c r="O75" i="31"/>
  <c r="N75" i="31"/>
  <c r="D75" i="31"/>
  <c r="F75" i="31" s="1"/>
  <c r="K75" i="31" s="1"/>
  <c r="M75" i="31" s="1"/>
  <c r="AD73" i="31"/>
  <c r="AA73" i="31"/>
  <c r="Z73" i="31"/>
  <c r="Y73" i="31"/>
  <c r="N73" i="31"/>
  <c r="O73" i="31" s="1"/>
  <c r="D73" i="31"/>
  <c r="F73" i="31" s="1"/>
  <c r="K73" i="31" s="1"/>
  <c r="M73" i="31" s="1"/>
  <c r="N72" i="31"/>
  <c r="O72" i="31" s="1"/>
  <c r="D72" i="31"/>
  <c r="F72" i="31" s="1"/>
  <c r="K72" i="31" s="1"/>
  <c r="M72" i="31" s="1"/>
  <c r="O71" i="31"/>
  <c r="N71" i="31"/>
  <c r="D71" i="31"/>
  <c r="F71" i="31" s="1"/>
  <c r="K71" i="31" s="1"/>
  <c r="M71" i="31" s="1"/>
  <c r="W70" i="31"/>
  <c r="V70" i="31"/>
  <c r="N70" i="31"/>
  <c r="O70" i="31" s="1"/>
  <c r="D70" i="31"/>
  <c r="F70" i="31" s="1"/>
  <c r="K70" i="31" s="1"/>
  <c r="M70" i="31" s="1"/>
  <c r="N69" i="31"/>
  <c r="O69" i="31" s="1"/>
  <c r="D69" i="31"/>
  <c r="F69" i="31" s="1"/>
  <c r="K69" i="31" s="1"/>
  <c r="M69" i="31" s="1"/>
  <c r="N67" i="31"/>
  <c r="O67" i="31" s="1"/>
  <c r="K67" i="31"/>
  <c r="M67" i="31" s="1"/>
  <c r="F67" i="31"/>
  <c r="D67" i="31"/>
  <c r="N66" i="31"/>
  <c r="O66" i="31" s="1"/>
  <c r="D66" i="31"/>
  <c r="F66" i="31" s="1"/>
  <c r="K66" i="31" s="1"/>
  <c r="M66" i="31" s="1"/>
  <c r="Y64" i="31"/>
  <c r="W64" i="31"/>
  <c r="N64" i="31"/>
  <c r="O64" i="31" s="1"/>
  <c r="D64" i="31"/>
  <c r="F64" i="31" s="1"/>
  <c r="K64" i="31" s="1"/>
  <c r="M64" i="31" s="1"/>
  <c r="N63" i="31"/>
  <c r="O63" i="31" s="1"/>
  <c r="D63" i="31"/>
  <c r="F63" i="31" s="1"/>
  <c r="K63" i="31" s="1"/>
  <c r="M63" i="31" s="1"/>
  <c r="N61" i="31"/>
  <c r="O61" i="31" s="1"/>
  <c r="D61" i="31"/>
  <c r="F61" i="31" s="1"/>
  <c r="K61" i="31" s="1"/>
  <c r="M61" i="31" s="1"/>
  <c r="N60" i="31"/>
  <c r="O60" i="31" s="1"/>
  <c r="D60" i="31"/>
  <c r="F60" i="31" s="1"/>
  <c r="K60" i="31" s="1"/>
  <c r="M60" i="31" s="1"/>
  <c r="N59" i="31"/>
  <c r="O59" i="31" s="1"/>
  <c r="D59" i="31"/>
  <c r="F59" i="31" s="1"/>
  <c r="K59" i="31" s="1"/>
  <c r="M59" i="31" s="1"/>
  <c r="N58" i="31"/>
  <c r="O58" i="31" s="1"/>
  <c r="D58" i="31"/>
  <c r="AN52" i="31"/>
  <c r="X52" i="31"/>
  <c r="U47" i="31"/>
  <c r="V46" i="31"/>
  <c r="N45" i="31"/>
  <c r="AN40" i="31"/>
  <c r="AP40" i="31" s="1"/>
  <c r="AC40" i="31"/>
  <c r="AD40" i="31" s="1"/>
  <c r="AB40" i="31"/>
  <c r="X40" i="31"/>
  <c r="X37" i="31" s="1"/>
  <c r="W40" i="31"/>
  <c r="N40" i="31"/>
  <c r="M40" i="31"/>
  <c r="F40" i="31"/>
  <c r="E40" i="31"/>
  <c r="AN39" i="31"/>
  <c r="AP39" i="31" s="1"/>
  <c r="AC39" i="31"/>
  <c r="AD39" i="31" s="1"/>
  <c r="AB39" i="31"/>
  <c r="X39" i="31"/>
  <c r="W39" i="31"/>
  <c r="N39" i="31"/>
  <c r="M39" i="31"/>
  <c r="F39" i="31"/>
  <c r="E39" i="31"/>
  <c r="AC38" i="31"/>
  <c r="AD38" i="31" s="1"/>
  <c r="AB38" i="31"/>
  <c r="AB37" i="31" s="1"/>
  <c r="X38" i="31"/>
  <c r="W38" i="31"/>
  <c r="N38" i="31"/>
  <c r="M38" i="31"/>
  <c r="I38" i="31"/>
  <c r="F38" i="31"/>
  <c r="E38" i="31"/>
  <c r="AO37" i="31"/>
  <c r="V37" i="31"/>
  <c r="U37" i="31"/>
  <c r="N37" i="31"/>
  <c r="L37" i="31"/>
  <c r="M37" i="31" s="1"/>
  <c r="K37" i="31"/>
  <c r="G37" i="31"/>
  <c r="F37" i="31"/>
  <c r="D37" i="31"/>
  <c r="C37" i="31"/>
  <c r="B37" i="31"/>
  <c r="AE35" i="31"/>
  <c r="AE34" i="31" s="1"/>
  <c r="AC35" i="31"/>
  <c r="AD35" i="31" s="1"/>
  <c r="AD34" i="31" s="1"/>
  <c r="X35" i="31"/>
  <c r="W35" i="31"/>
  <c r="N35" i="31"/>
  <c r="N34" i="31" s="1"/>
  <c r="M35" i="31"/>
  <c r="M34" i="31" s="1"/>
  <c r="I35" i="31"/>
  <c r="F35" i="31"/>
  <c r="E35" i="31"/>
  <c r="AB34" i="31"/>
  <c r="V34" i="31"/>
  <c r="U34" i="31"/>
  <c r="L34" i="31"/>
  <c r="K34" i="31"/>
  <c r="G34" i="31"/>
  <c r="I34" i="31" s="1"/>
  <c r="F34" i="31"/>
  <c r="E34" i="31"/>
  <c r="AC32" i="31"/>
  <c r="AN32" i="31" s="1"/>
  <c r="AP32" i="31" s="1"/>
  <c r="W32" i="31"/>
  <c r="N32" i="31"/>
  <c r="M32" i="31"/>
  <c r="I32" i="31"/>
  <c r="E32" i="31"/>
  <c r="AC31" i="31"/>
  <c r="AB31" i="31"/>
  <c r="AB30" i="31" s="1"/>
  <c r="X31" i="31"/>
  <c r="W31" i="31"/>
  <c r="N31" i="31"/>
  <c r="M31" i="31"/>
  <c r="I31" i="31"/>
  <c r="F31" i="31"/>
  <c r="F30" i="31" s="1"/>
  <c r="E31" i="31"/>
  <c r="AO30" i="31"/>
  <c r="X30" i="31"/>
  <c r="V30" i="31"/>
  <c r="U30" i="31"/>
  <c r="L30" i="31"/>
  <c r="N30" i="31" s="1"/>
  <c r="K30" i="31"/>
  <c r="G30" i="31"/>
  <c r="I30" i="31" s="1"/>
  <c r="D30" i="31"/>
  <c r="C30" i="31"/>
  <c r="B30" i="31"/>
  <c r="AC28" i="31"/>
  <c r="AB28" i="31"/>
  <c r="X28" i="31"/>
  <c r="W28" i="31"/>
  <c r="N28" i="31"/>
  <c r="M28" i="31"/>
  <c r="I28" i="31"/>
  <c r="F28" i="31"/>
  <c r="E28" i="31"/>
  <c r="AC27" i="31"/>
  <c r="AD27" i="31" s="1"/>
  <c r="AB27" i="31"/>
  <c r="X27" i="31"/>
  <c r="W27" i="31"/>
  <c r="N27" i="31"/>
  <c r="M27" i="31"/>
  <c r="I27" i="31"/>
  <c r="F27" i="31"/>
  <c r="E27" i="31"/>
  <c r="AO26" i="31"/>
  <c r="X26" i="31"/>
  <c r="V26" i="31"/>
  <c r="W26" i="31" s="1"/>
  <c r="U26" i="31"/>
  <c r="L26" i="31"/>
  <c r="K26" i="31"/>
  <c r="G26" i="31"/>
  <c r="I26" i="31" s="1"/>
  <c r="D26" i="31"/>
  <c r="C26" i="31"/>
  <c r="B26" i="31"/>
  <c r="AC24" i="31"/>
  <c r="AB24" i="31"/>
  <c r="X24" i="31"/>
  <c r="W24" i="31"/>
  <c r="N24" i="31"/>
  <c r="M24" i="31"/>
  <c r="I24" i="31"/>
  <c r="F24" i="31"/>
  <c r="E24" i="31"/>
  <c r="AN23" i="31"/>
  <c r="AP23" i="31" s="1"/>
  <c r="AE23" i="31"/>
  <c r="AD23" i="31"/>
  <c r="X23" i="31"/>
  <c r="W23" i="31"/>
  <c r="N23" i="31"/>
  <c r="M23" i="31"/>
  <c r="I23" i="31"/>
  <c r="F23" i="31"/>
  <c r="E23" i="31"/>
  <c r="AC22" i="31"/>
  <c r="AD22" i="31" s="1"/>
  <c r="AD20" i="31" s="1"/>
  <c r="X22" i="31"/>
  <c r="W22" i="31"/>
  <c r="N22" i="31"/>
  <c r="M22" i="31"/>
  <c r="I22" i="31"/>
  <c r="F22" i="31"/>
  <c r="E22" i="31"/>
  <c r="AC21" i="31"/>
  <c r="AB21" i="31"/>
  <c r="AB20" i="31" s="1"/>
  <c r="X21" i="31"/>
  <c r="W21" i="31"/>
  <c r="N21" i="31"/>
  <c r="M21" i="31"/>
  <c r="I21" i="31"/>
  <c r="F21" i="31"/>
  <c r="E21" i="31"/>
  <c r="AO20" i="31"/>
  <c r="X20" i="31"/>
  <c r="V20" i="31"/>
  <c r="U20" i="31"/>
  <c r="L20" i="31"/>
  <c r="K20" i="31"/>
  <c r="G20" i="31"/>
  <c r="I20" i="31" s="1"/>
  <c r="D20" i="31"/>
  <c r="C20" i="31"/>
  <c r="B20" i="31"/>
  <c r="AC18" i="31"/>
  <c r="AB18" i="31"/>
  <c r="AB16" i="31" s="1"/>
  <c r="X18" i="31"/>
  <c r="W18" i="31"/>
  <c r="N18" i="31"/>
  <c r="M18" i="31"/>
  <c r="I18" i="31"/>
  <c r="F18" i="31"/>
  <c r="E18" i="31"/>
  <c r="AO17" i="31"/>
  <c r="AE17" i="31"/>
  <c r="AD17" i="31"/>
  <c r="X17" i="31"/>
  <c r="W17" i="31"/>
  <c r="L17" i="31"/>
  <c r="K17" i="31"/>
  <c r="K16" i="31" s="1"/>
  <c r="I17" i="31"/>
  <c r="G17" i="31"/>
  <c r="D17" i="31"/>
  <c r="AO16" i="31"/>
  <c r="V16" i="31"/>
  <c r="W16" i="31" s="1"/>
  <c r="U16" i="31"/>
  <c r="G16" i="31"/>
  <c r="I16" i="31" s="1"/>
  <c r="C16" i="31"/>
  <c r="B16" i="31"/>
  <c r="AN14" i="31"/>
  <c r="AE14" i="31"/>
  <c r="AC14" i="31"/>
  <c r="AB14" i="31"/>
  <c r="AD14" i="31" s="1"/>
  <c r="AD12" i="31" s="1"/>
  <c r="X14" i="31"/>
  <c r="W14" i="31"/>
  <c r="N14" i="31"/>
  <c r="M14" i="31"/>
  <c r="I14" i="31"/>
  <c r="F14" i="31"/>
  <c r="E14" i="31"/>
  <c r="AP13" i="31"/>
  <c r="AN13" i="31"/>
  <c r="AE13" i="31"/>
  <c r="AE12" i="31" s="1"/>
  <c r="AD13" i="31"/>
  <c r="X13" i="31"/>
  <c r="W13" i="31"/>
  <c r="N13" i="31"/>
  <c r="M13" i="31"/>
  <c r="I13" i="31"/>
  <c r="F13" i="31"/>
  <c r="E13" i="31"/>
  <c r="AO12" i="31"/>
  <c r="AC12" i="31"/>
  <c r="V12" i="31"/>
  <c r="U12" i="31"/>
  <c r="L12" i="31"/>
  <c r="K12" i="31"/>
  <c r="N12" i="31" s="1"/>
  <c r="G12" i="31"/>
  <c r="I12" i="31" s="1"/>
  <c r="F12" i="31"/>
  <c r="D12" i="31"/>
  <c r="E12" i="31" s="1"/>
  <c r="C12" i="31"/>
  <c r="B12" i="31"/>
  <c r="M12" i="31" s="1"/>
  <c r="AN10" i="31"/>
  <c r="AP10" i="31" s="1"/>
  <c r="AE10" i="31"/>
  <c r="AD10" i="31"/>
  <c r="X10" i="31"/>
  <c r="W10" i="31"/>
  <c r="N10" i="31"/>
  <c r="M10" i="31"/>
  <c r="I10" i="31"/>
  <c r="F10" i="31"/>
  <c r="E10" i="31"/>
  <c r="AN9" i="31"/>
  <c r="AP9" i="31" s="1"/>
  <c r="AE9" i="31"/>
  <c r="AD9" i="31"/>
  <c r="X9" i="31"/>
  <c r="X7" i="31" s="1"/>
  <c r="W9" i="31"/>
  <c r="N9" i="31"/>
  <c r="M9" i="31"/>
  <c r="I9" i="31"/>
  <c r="F9" i="31"/>
  <c r="E9" i="31"/>
  <c r="AN8" i="31"/>
  <c r="AP8" i="31" s="1"/>
  <c r="AE8" i="31"/>
  <c r="AD8" i="31"/>
  <c r="X8" i="31"/>
  <c r="W8" i="31"/>
  <c r="N8" i="31"/>
  <c r="M8" i="31"/>
  <c r="I8" i="31"/>
  <c r="E8" i="31"/>
  <c r="AO7" i="31"/>
  <c r="AD7" i="31"/>
  <c r="AC7" i="31"/>
  <c r="AB7" i="31"/>
  <c r="V7" i="31"/>
  <c r="W7" i="31" s="1"/>
  <c r="U7" i="31"/>
  <c r="N7" i="31"/>
  <c r="L7" i="31"/>
  <c r="M7" i="31" s="1"/>
  <c r="K7" i="31"/>
  <c r="G7" i="31"/>
  <c r="I7" i="31" s="1"/>
  <c r="F7" i="31"/>
  <c r="D7" i="31"/>
  <c r="E7" i="31" s="1"/>
  <c r="C7" i="31"/>
  <c r="U20" i="40"/>
  <c r="O19" i="40"/>
  <c r="M19" i="40"/>
  <c r="J19" i="40"/>
  <c r="G19" i="40"/>
  <c r="D19" i="40"/>
  <c r="J38" i="41"/>
  <c r="D38" i="41"/>
  <c r="D37" i="41"/>
  <c r="J37" i="41"/>
  <c r="J36" i="41"/>
  <c r="D36" i="41"/>
  <c r="W12" i="31" l="1"/>
  <c r="W20" i="31"/>
  <c r="E26" i="31"/>
  <c r="W30" i="31"/>
  <c r="AD32" i="31"/>
  <c r="AC34" i="31"/>
  <c r="AN35" i="31"/>
  <c r="AN34" i="31" s="1"/>
  <c r="AP34" i="31" s="1"/>
  <c r="AE38" i="31"/>
  <c r="AE37" i="31" s="1"/>
  <c r="V42" i="31"/>
  <c r="X42" i="31" s="1"/>
  <c r="AB12" i="31"/>
  <c r="X16" i="31"/>
  <c r="AE32" i="31"/>
  <c r="AC37" i="31"/>
  <c r="AN38" i="31"/>
  <c r="C42" i="31"/>
  <c r="K37" i="41"/>
  <c r="AN12" i="31"/>
  <c r="AP12" i="31" s="1"/>
  <c r="F26" i="31"/>
  <c r="AB26" i="31"/>
  <c r="AO41" i="31"/>
  <c r="AE40" i="31"/>
  <c r="G42" i="31"/>
  <c r="H52" i="31" s="1"/>
  <c r="D91" i="31"/>
  <c r="AE39" i="31"/>
  <c r="O91" i="31"/>
  <c r="AP14" i="31"/>
  <c r="AQ12" i="31" s="1"/>
  <c r="AN18" i="31"/>
  <c r="AP18" i="31" s="1"/>
  <c r="AD18" i="31"/>
  <c r="AD16" i="31" s="1"/>
  <c r="AE18" i="31"/>
  <c r="AE7" i="31"/>
  <c r="AC16" i="31"/>
  <c r="AE16" i="31"/>
  <c r="E30" i="31"/>
  <c r="AD37" i="31"/>
  <c r="E20" i="31"/>
  <c r="AE24" i="31"/>
  <c r="AN24" i="31"/>
  <c r="AP24" i="31" s="1"/>
  <c r="W34" i="31"/>
  <c r="X34" i="31"/>
  <c r="AN17" i="31"/>
  <c r="AP17" i="31" s="1"/>
  <c r="L16" i="31"/>
  <c r="M17" i="31"/>
  <c r="N17" i="31"/>
  <c r="F20" i="31"/>
  <c r="AD24" i="31"/>
  <c r="M26" i="31"/>
  <c r="N26" i="31"/>
  <c r="AD31" i="31"/>
  <c r="AD30" i="31" s="1"/>
  <c r="AN31" i="31"/>
  <c r="AC30" i="31"/>
  <c r="AE31" i="31"/>
  <c r="AE30" i="31" s="1"/>
  <c r="E37" i="31"/>
  <c r="AN37" i="31"/>
  <c r="AP38" i="31"/>
  <c r="AQ37" i="31" s="1"/>
  <c r="N91" i="31"/>
  <c r="AC20" i="31"/>
  <c r="AN21" i="31"/>
  <c r="AE21" i="31"/>
  <c r="AN28" i="31"/>
  <c r="AP28" i="31" s="1"/>
  <c r="AD28" i="31"/>
  <c r="AD26" i="31" s="1"/>
  <c r="AE28" i="31"/>
  <c r="U42" i="31"/>
  <c r="W57" i="31" s="1"/>
  <c r="D43" i="31"/>
  <c r="E43" i="31" s="1"/>
  <c r="D16" i="31"/>
  <c r="E16" i="31" s="1"/>
  <c r="F17" i="31"/>
  <c r="F16" i="31" s="1"/>
  <c r="E17" i="31"/>
  <c r="X12" i="31"/>
  <c r="N20" i="31"/>
  <c r="AN22" i="31"/>
  <c r="AP22" i="31" s="1"/>
  <c r="AE22" i="31"/>
  <c r="AE27" i="31"/>
  <c r="AN27" i="31"/>
  <c r="AC26" i="31"/>
  <c r="B42" i="31"/>
  <c r="K42" i="31"/>
  <c r="Z57" i="31" s="1"/>
  <c r="AB42" i="31"/>
  <c r="AE73" i="31" s="1"/>
  <c r="AN7" i="31"/>
  <c r="AP7" i="31" s="1"/>
  <c r="AQ7" i="31" s="1"/>
  <c r="M20" i="31"/>
  <c r="M30" i="31"/>
  <c r="AP35" i="31"/>
  <c r="F58" i="31"/>
  <c r="W37" i="31"/>
  <c r="J32" i="41"/>
  <c r="D32" i="41"/>
  <c r="J28" i="41"/>
  <c r="D28" i="41"/>
  <c r="J27" i="41"/>
  <c r="D27" i="41"/>
  <c r="K27" i="41" s="1"/>
  <c r="J24" i="41"/>
  <c r="D24" i="41"/>
  <c r="J23" i="41"/>
  <c r="D23" i="41"/>
  <c r="K19" i="41"/>
  <c r="K20" i="41"/>
  <c r="J20" i="41"/>
  <c r="D20" i="41"/>
  <c r="J19" i="41"/>
  <c r="D19" i="41"/>
  <c r="K18" i="41"/>
  <c r="K17" i="41"/>
  <c r="J18" i="41"/>
  <c r="J17" i="41"/>
  <c r="D18" i="41"/>
  <c r="D17" i="41"/>
  <c r="K13" i="41"/>
  <c r="K12" i="41"/>
  <c r="J13" i="41"/>
  <c r="D13" i="41"/>
  <c r="J12" i="41"/>
  <c r="D12" i="41"/>
  <c r="J8" i="41"/>
  <c r="D8" i="41"/>
  <c r="J7" i="41"/>
  <c r="D7" i="41"/>
  <c r="J4" i="41"/>
  <c r="K4" i="41" s="1"/>
  <c r="D4" i="41"/>
  <c r="J3" i="41"/>
  <c r="K3" i="41" s="1"/>
  <c r="D3" i="41"/>
  <c r="J2" i="41"/>
  <c r="D2" i="41"/>
  <c r="K24" i="41"/>
  <c r="K38" i="41"/>
  <c r="K36" i="41"/>
  <c r="K2" i="41"/>
  <c r="J7" i="39"/>
  <c r="X57" i="31" l="1"/>
  <c r="Y57" i="31" s="1"/>
  <c r="W42" i="31"/>
  <c r="AQ16" i="31"/>
  <c r="AE26" i="31"/>
  <c r="AC42" i="31"/>
  <c r="AE42" i="31"/>
  <c r="AD42" i="31"/>
  <c r="AF73" i="31"/>
  <c r="AG73" i="31" s="1"/>
  <c r="AN16" i="31"/>
  <c r="AP16" i="31" s="1"/>
  <c r="F91" i="31"/>
  <c r="K58" i="31"/>
  <c r="AP31" i="31"/>
  <c r="AQ30" i="31" s="1"/>
  <c r="AN30" i="31"/>
  <c r="AP30" i="31" s="1"/>
  <c r="D42" i="31"/>
  <c r="AP21" i="31"/>
  <c r="AQ20" i="31" s="1"/>
  <c r="AN20" i="31"/>
  <c r="AP20" i="31" s="1"/>
  <c r="AP37" i="31"/>
  <c r="M16" i="31"/>
  <c r="N16" i="31"/>
  <c r="L42" i="31"/>
  <c r="AP27" i="31"/>
  <c r="AQ26" i="31" s="1"/>
  <c r="AN26" i="31"/>
  <c r="AP26" i="31" s="1"/>
  <c r="AE20" i="31"/>
  <c r="E42" i="31"/>
  <c r="K8" i="41"/>
  <c r="K32" i="41"/>
  <c r="K7" i="41"/>
  <c r="K23" i="41"/>
  <c r="J28" i="39"/>
  <c r="J27" i="39"/>
  <c r="J19" i="38"/>
  <c r="N42" i="31" l="1"/>
  <c r="M42" i="31"/>
  <c r="AA57" i="31"/>
  <c r="AB57" i="31" s="1"/>
  <c r="M58" i="31"/>
  <c r="M91" i="31" s="1"/>
  <c r="K91" i="31"/>
  <c r="F43" i="31"/>
  <c r="F42" i="31"/>
  <c r="AN41" i="31"/>
  <c r="J20" i="39"/>
  <c r="J23" i="39"/>
  <c r="E12" i="39"/>
  <c r="J38" i="39"/>
  <c r="J37" i="39"/>
  <c r="J36" i="39"/>
  <c r="J32" i="39"/>
  <c r="J17" i="39"/>
  <c r="J18" i="39"/>
  <c r="J13" i="39"/>
  <c r="J12" i="39"/>
  <c r="J8" i="39"/>
  <c r="J4" i="39"/>
  <c r="K4" i="39" s="1"/>
  <c r="J3" i="39"/>
  <c r="K3" i="39" s="1"/>
  <c r="J2" i="39"/>
  <c r="K2" i="39" s="1"/>
  <c r="D38" i="39"/>
  <c r="D37" i="39"/>
  <c r="D36" i="39"/>
  <c r="D32" i="39"/>
  <c r="D28" i="39"/>
  <c r="D27" i="39"/>
  <c r="K27" i="39" s="1"/>
  <c r="D24" i="39"/>
  <c r="K24" i="39" s="1"/>
  <c r="D23" i="39"/>
  <c r="D18" i="39"/>
  <c r="K18" i="39" s="1"/>
  <c r="D19" i="39"/>
  <c r="K19" i="39" s="1"/>
  <c r="D20" i="39"/>
  <c r="D17" i="39"/>
  <c r="D13" i="39"/>
  <c r="D12" i="39"/>
  <c r="D8" i="39"/>
  <c r="D7" i="39"/>
  <c r="K7" i="39" s="1"/>
  <c r="D3" i="39"/>
  <c r="D4" i="39"/>
  <c r="D2" i="39"/>
  <c r="K13" i="39" l="1"/>
  <c r="K38" i="39"/>
  <c r="K32" i="39"/>
  <c r="K36" i="39"/>
  <c r="K23" i="39"/>
  <c r="K20" i="39"/>
  <c r="K37" i="39"/>
  <c r="K12" i="39"/>
  <c r="K8" i="39"/>
  <c r="E25" i="38"/>
  <c r="F25" i="38"/>
  <c r="F24" i="38"/>
  <c r="E24" i="38"/>
  <c r="N19" i="38"/>
  <c r="O19" i="38" s="1"/>
  <c r="G19" i="38"/>
  <c r="D19" i="38"/>
  <c r="AC94" i="5"/>
  <c r="AC96" i="5"/>
  <c r="F30" i="37" l="1"/>
  <c r="F29" i="37"/>
  <c r="E30" i="37"/>
  <c r="E29" i="37"/>
  <c r="F25" i="37"/>
  <c r="F24" i="37"/>
  <c r="E25" i="37"/>
  <c r="E24" i="37"/>
  <c r="D48" i="35"/>
  <c r="N19" i="37"/>
  <c r="O19" i="37" s="1"/>
  <c r="G19" i="37"/>
  <c r="AB96" i="5"/>
  <c r="AB94" i="5"/>
  <c r="D19" i="36"/>
  <c r="D18" i="36"/>
  <c r="D19" i="37"/>
  <c r="I48" i="35"/>
  <c r="F48" i="35"/>
  <c r="K48" i="35" s="1"/>
  <c r="L48" i="35" s="1"/>
  <c r="E48" i="35"/>
  <c r="J48" i="35" s="1"/>
  <c r="J38" i="36"/>
  <c r="D38" i="36"/>
  <c r="J37" i="36"/>
  <c r="D37" i="36"/>
  <c r="J36" i="36"/>
  <c r="K36" i="36" s="1"/>
  <c r="J32" i="36"/>
  <c r="D32" i="36"/>
  <c r="J28" i="36"/>
  <c r="K28" i="36" s="1"/>
  <c r="J27" i="36"/>
  <c r="K27" i="36" s="1"/>
  <c r="J24" i="36"/>
  <c r="K24" i="36" s="1"/>
  <c r="J23" i="36"/>
  <c r="K23" i="36" s="1"/>
  <c r="K17" i="36"/>
  <c r="J20" i="36"/>
  <c r="K20" i="36" s="1"/>
  <c r="J19" i="36"/>
  <c r="J18" i="36"/>
  <c r="J13" i="36"/>
  <c r="D13" i="36"/>
  <c r="J12" i="36"/>
  <c r="D12" i="36"/>
  <c r="M12" i="36" s="1"/>
  <c r="D8" i="36"/>
  <c r="D7" i="36"/>
  <c r="J8" i="36"/>
  <c r="J7" i="36"/>
  <c r="K7" i="36" s="1"/>
  <c r="J3" i="36"/>
  <c r="K3" i="36" s="1"/>
  <c r="J4" i="36"/>
  <c r="K4" i="36" s="1"/>
  <c r="J2" i="36"/>
  <c r="K2" i="36" s="1"/>
  <c r="D3" i="36"/>
  <c r="D4" i="36"/>
  <c r="D2" i="36"/>
  <c r="C9" i="30"/>
  <c r="K38" i="36" l="1"/>
  <c r="K32" i="36"/>
  <c r="K8" i="36"/>
  <c r="K13" i="36"/>
  <c r="K37" i="36"/>
  <c r="K12" i="36"/>
  <c r="K19" i="36"/>
  <c r="K18" i="36"/>
  <c r="O46" i="34" l="1"/>
  <c r="J46" i="34"/>
  <c r="AD203" i="5"/>
  <c r="J41" i="34"/>
  <c r="F41" i="34"/>
  <c r="B41" i="34"/>
  <c r="H41" i="34"/>
  <c r="E41" i="34"/>
  <c r="D46" i="34" s="1"/>
  <c r="F46" i="34" s="1"/>
  <c r="K41" i="34"/>
  <c r="I41" i="34"/>
  <c r="C41" i="34"/>
  <c r="A46" i="34" s="1"/>
  <c r="J181" i="32"/>
  <c r="J180" i="32"/>
  <c r="I180" i="32"/>
  <c r="K179" i="32"/>
  <c r="L178" i="32"/>
  <c r="G178" i="32"/>
  <c r="F178" i="32"/>
  <c r="E178" i="32"/>
  <c r="D178" i="32"/>
  <c r="G177" i="32"/>
  <c r="F177" i="32"/>
  <c r="E177" i="32"/>
  <c r="D177" i="32"/>
  <c r="G172" i="32"/>
  <c r="F172" i="32"/>
  <c r="E172" i="32"/>
  <c r="D172" i="32"/>
  <c r="G171" i="32"/>
  <c r="F171" i="32"/>
  <c r="E171" i="32"/>
  <c r="D171" i="32"/>
  <c r="G170" i="32"/>
  <c r="F170" i="32"/>
  <c r="E170" i="32"/>
  <c r="D170" i="32"/>
  <c r="G169" i="32"/>
  <c r="F169" i="32"/>
  <c r="E169" i="32"/>
  <c r="D169" i="32"/>
  <c r="G168" i="32"/>
  <c r="F168" i="32"/>
  <c r="E168" i="32"/>
  <c r="D168" i="32"/>
  <c r="G167" i="32"/>
  <c r="F167" i="32"/>
  <c r="E167" i="32"/>
  <c r="D167" i="32"/>
  <c r="G166" i="32"/>
  <c r="F166" i="32"/>
  <c r="E166" i="32"/>
  <c r="D166" i="32"/>
  <c r="G164" i="32"/>
  <c r="F164" i="32"/>
  <c r="E164" i="32"/>
  <c r="D164" i="32"/>
  <c r="G161" i="32"/>
  <c r="F161" i="32"/>
  <c r="E161" i="32"/>
  <c r="D161" i="32"/>
  <c r="G160" i="32"/>
  <c r="F160" i="32"/>
  <c r="E160" i="32"/>
  <c r="D160" i="32"/>
  <c r="G152" i="32"/>
  <c r="F152" i="32"/>
  <c r="E152" i="32"/>
  <c r="D152" i="32"/>
  <c r="G148" i="32"/>
  <c r="F148" i="32"/>
  <c r="E148" i="32"/>
  <c r="D148" i="32"/>
  <c r="G145" i="32"/>
  <c r="F145" i="32"/>
  <c r="E145" i="32"/>
  <c r="D145" i="32"/>
  <c r="G143" i="32"/>
  <c r="F143" i="32"/>
  <c r="E143" i="32"/>
  <c r="D143" i="32"/>
  <c r="G127" i="32"/>
  <c r="F127" i="32"/>
  <c r="E127" i="32"/>
  <c r="D127" i="32"/>
  <c r="G120" i="32"/>
  <c r="F120" i="32"/>
  <c r="E120" i="32"/>
  <c r="D120" i="32"/>
  <c r="G119" i="32"/>
  <c r="F119" i="32"/>
  <c r="E119" i="32"/>
  <c r="D119" i="32"/>
  <c r="G118" i="32"/>
  <c r="F118" i="32"/>
  <c r="E118" i="32"/>
  <c r="D118" i="32"/>
  <c r="G107" i="32"/>
  <c r="F107" i="32"/>
  <c r="E107" i="32"/>
  <c r="D107" i="32"/>
  <c r="G101" i="32"/>
  <c r="F101" i="32"/>
  <c r="E101" i="32"/>
  <c r="D101" i="32"/>
  <c r="G100" i="32"/>
  <c r="F100" i="32"/>
  <c r="E100" i="32"/>
  <c r="D100" i="32"/>
  <c r="G82" i="32"/>
  <c r="F82" i="32"/>
  <c r="E82" i="32"/>
  <c r="D82" i="32"/>
  <c r="K43" i="32"/>
  <c r="K42" i="32"/>
  <c r="G36" i="32"/>
  <c r="F36" i="32"/>
  <c r="E36" i="32"/>
  <c r="D36" i="32"/>
  <c r="G35" i="32"/>
  <c r="F35" i="32"/>
  <c r="E35" i="32"/>
  <c r="D35" i="32"/>
  <c r="K32" i="32"/>
  <c r="G26" i="32"/>
  <c r="F26" i="32"/>
  <c r="E26" i="32"/>
  <c r="D26" i="32"/>
  <c r="G24" i="32"/>
  <c r="F24" i="32"/>
  <c r="E24" i="32"/>
  <c r="D24" i="32"/>
  <c r="G23" i="32"/>
  <c r="F23" i="32"/>
  <c r="E23" i="32"/>
  <c r="D23" i="32"/>
  <c r="G21" i="32"/>
  <c r="F21" i="32"/>
  <c r="E21" i="32"/>
  <c r="D21" i="32"/>
  <c r="G19" i="32"/>
  <c r="F19" i="32"/>
  <c r="E19" i="32"/>
  <c r="D19" i="32"/>
  <c r="G18" i="32"/>
  <c r="F18" i="32"/>
  <c r="E18" i="32"/>
  <c r="D18" i="32"/>
  <c r="G17" i="32"/>
  <c r="F17" i="32"/>
  <c r="E17" i="32"/>
  <c r="D17" i="32"/>
  <c r="G16" i="32"/>
  <c r="F16" i="32"/>
  <c r="E16" i="32"/>
  <c r="D16" i="32"/>
  <c r="G15" i="32"/>
  <c r="F15" i="32"/>
  <c r="E15" i="32"/>
  <c r="D15" i="32"/>
  <c r="G11" i="32"/>
  <c r="F11" i="32"/>
  <c r="E11" i="32"/>
  <c r="D11" i="32"/>
  <c r="G10" i="32"/>
  <c r="F10" i="32"/>
  <c r="E10" i="32"/>
  <c r="D10" i="32"/>
  <c r="G9" i="32"/>
  <c r="F9" i="32"/>
  <c r="E9" i="32"/>
  <c r="D9" i="32"/>
  <c r="G7" i="32"/>
  <c r="F7" i="32"/>
  <c r="E7" i="32"/>
  <c r="D7" i="32"/>
  <c r="G6" i="32"/>
  <c r="F6" i="32"/>
  <c r="E6" i="32"/>
  <c r="D6" i="32"/>
  <c r="G5" i="32"/>
  <c r="F5" i="32"/>
  <c r="E5" i="32"/>
  <c r="D5" i="32"/>
  <c r="C23" i="30"/>
  <c r="D20" i="30"/>
  <c r="D19" i="30"/>
  <c r="E19" i="30" s="1"/>
  <c r="D17" i="30"/>
  <c r="D15" i="30"/>
  <c r="E15" i="30" s="1"/>
  <c r="D11" i="30"/>
  <c r="E12" i="30" s="1"/>
  <c r="D9" i="30"/>
  <c r="E10" i="30" s="1"/>
  <c r="D7" i="30"/>
  <c r="E8" i="30" s="1"/>
  <c r="D4" i="30"/>
  <c r="E5" i="30" s="1"/>
  <c r="F20" i="30" l="1"/>
  <c r="F17" i="30"/>
  <c r="E6" i="30"/>
  <c r="E9" i="30"/>
  <c r="F9" i="30"/>
  <c r="F15" i="30"/>
  <c r="E16" i="30"/>
  <c r="F19" i="30"/>
  <c r="E17" i="30"/>
  <c r="E20" i="30"/>
  <c r="G41" i="34"/>
  <c r="D41" i="34"/>
  <c r="B46" i="34" s="1"/>
  <c r="C46" i="34" s="1"/>
  <c r="P46" i="34"/>
  <c r="E13" i="30"/>
  <c r="E14" i="30"/>
  <c r="D23" i="30"/>
  <c r="E7" i="30"/>
  <c r="E4" i="30"/>
  <c r="F7" i="30"/>
  <c r="F4" i="30"/>
  <c r="F11" i="30"/>
  <c r="F23" i="30" l="1"/>
  <c r="E5" i="28" l="1"/>
  <c r="E4" i="28" s="1"/>
  <c r="H18" i="28" l="1"/>
  <c r="E8" i="28"/>
  <c r="E14" i="28" s="1"/>
  <c r="Z111" i="5"/>
  <c r="E12" i="29"/>
  <c r="F15" i="29" l="1"/>
  <c r="F14" i="28"/>
  <c r="H14" i="28" s="1"/>
  <c r="E45" i="27"/>
  <c r="E15" i="27"/>
  <c r="C112" i="27" s="1"/>
  <c r="E105" i="27"/>
  <c r="C119" i="27" s="1"/>
  <c r="E91" i="27"/>
  <c r="C118" i="27" s="1"/>
  <c r="E82" i="27"/>
  <c r="C117" i="27" s="1"/>
  <c r="E73" i="27"/>
  <c r="C116" i="27" s="1"/>
  <c r="E61" i="27"/>
  <c r="C115" i="27" s="1"/>
  <c r="C113" i="27"/>
  <c r="E27" i="27"/>
  <c r="C114" i="27" s="1"/>
  <c r="C120" i="27" l="1"/>
  <c r="D120" i="27" l="1"/>
  <c r="D124" i="27"/>
  <c r="Y103" i="5"/>
  <c r="Z103" i="5" s="1"/>
  <c r="C23" i="26" l="1"/>
  <c r="D20" i="26"/>
  <c r="E20" i="26" s="1"/>
  <c r="D19" i="26"/>
  <c r="D17" i="26"/>
  <c r="E17" i="26" s="1"/>
  <c r="D15" i="26"/>
  <c r="E15" i="26" s="1"/>
  <c r="D11" i="26"/>
  <c r="E13" i="26" s="1"/>
  <c r="D9" i="26"/>
  <c r="E10" i="26" s="1"/>
  <c r="D7" i="26"/>
  <c r="E8" i="26" s="1"/>
  <c r="D4" i="26"/>
  <c r="E6" i="26" s="1"/>
  <c r="Y40" i="5"/>
  <c r="Z40" i="5" s="1"/>
  <c r="Y172" i="5"/>
  <c r="Z172" i="5" s="1"/>
  <c r="Y62" i="5"/>
  <c r="Z62" i="5" s="1"/>
  <c r="Z154" i="5"/>
  <c r="Y127" i="5"/>
  <c r="Z127" i="5" s="1"/>
  <c r="Z133" i="5"/>
  <c r="Y122" i="5"/>
  <c r="Z122" i="5" s="1"/>
  <c r="Y159" i="5"/>
  <c r="Z159" i="5" s="1"/>
  <c r="Y142" i="5"/>
  <c r="Z142" i="5" s="1"/>
  <c r="Z56" i="5"/>
  <c r="Z98" i="5"/>
  <c r="Z94" i="5"/>
  <c r="Y21" i="5"/>
  <c r="Z21" i="5" s="1"/>
  <c r="Y17" i="5"/>
  <c r="Z17" i="5" s="1"/>
  <c r="Y12" i="5"/>
  <c r="Z12" i="5" s="1"/>
  <c r="Y8" i="5"/>
  <c r="Z8" i="5" s="1"/>
  <c r="E12" i="26" l="1"/>
  <c r="F15" i="26"/>
  <c r="F4" i="26"/>
  <c r="E16" i="26"/>
  <c r="F19" i="26"/>
  <c r="E4" i="26"/>
  <c r="F7" i="26"/>
  <c r="E14" i="26"/>
  <c r="F17" i="26"/>
  <c r="E5" i="26"/>
  <c r="E9" i="26"/>
  <c r="F11" i="26"/>
  <c r="E19" i="26"/>
  <c r="F9" i="26"/>
  <c r="E7" i="26"/>
  <c r="F20" i="26"/>
  <c r="D23" i="26"/>
  <c r="Y13" i="23"/>
  <c r="W47" i="15"/>
  <c r="X47" i="15" s="1"/>
  <c r="AD19" i="24"/>
  <c r="AD18" i="24"/>
  <c r="AD16" i="24"/>
  <c r="AD15" i="24"/>
  <c r="AD12" i="24"/>
  <c r="AD11" i="24"/>
  <c r="AD9" i="24"/>
  <c r="AD8" i="24"/>
  <c r="AD24" i="24"/>
  <c r="AD23" i="24"/>
  <c r="U27" i="20"/>
  <c r="U28" i="20"/>
  <c r="U29" i="20"/>
  <c r="U30" i="20"/>
  <c r="U31" i="20"/>
  <c r="T26" i="20"/>
  <c r="F23" i="26" l="1"/>
  <c r="V33" i="20"/>
  <c r="AD35" i="15"/>
  <c r="X33" i="15"/>
  <c r="X34" i="15"/>
  <c r="AD26" i="15"/>
  <c r="AE26" i="15"/>
  <c r="AF26" i="15"/>
  <c r="AG43" i="15"/>
  <c r="X43" i="15"/>
  <c r="V30" i="15"/>
  <c r="W46" i="15"/>
  <c r="V46" i="15"/>
  <c r="AD46" i="15"/>
  <c r="AC46" i="15"/>
  <c r="AG29" i="15"/>
  <c r="AG30" i="15"/>
  <c r="AG31" i="15"/>
  <c r="AG33" i="15"/>
  <c r="AG34" i="15"/>
  <c r="AG36" i="15"/>
  <c r="AH36" i="15" s="1"/>
  <c r="AG37" i="15"/>
  <c r="AG38" i="15"/>
  <c r="AH38" i="15" s="1"/>
  <c r="AG39" i="15"/>
  <c r="AG40" i="15"/>
  <c r="AH40" i="15" s="1"/>
  <c r="AG41" i="15"/>
  <c r="AH41" i="15" s="1"/>
  <c r="AG42" i="15"/>
  <c r="AH42" i="15" s="1"/>
  <c r="AG44" i="15"/>
  <c r="AG45" i="15"/>
  <c r="AG28" i="15"/>
  <c r="AG9" i="15"/>
  <c r="AG10" i="15"/>
  <c r="AG11" i="15"/>
  <c r="AG12" i="15"/>
  <c r="AG13" i="15"/>
  <c r="AG14" i="15"/>
  <c r="AG15" i="15"/>
  <c r="AG16" i="15"/>
  <c r="AG17" i="15"/>
  <c r="AG18" i="15"/>
  <c r="AG19" i="15"/>
  <c r="AG20" i="15"/>
  <c r="AG21" i="15"/>
  <c r="AG22" i="15"/>
  <c r="AG23" i="15"/>
  <c r="AG24" i="15"/>
  <c r="AG25" i="15"/>
  <c r="AG8" i="15"/>
  <c r="W39" i="15"/>
  <c r="AE61" i="19"/>
  <c r="AF61" i="19"/>
  <c r="AD61" i="19"/>
  <c r="D83" i="19" s="1"/>
  <c r="AC61" i="19"/>
  <c r="V32" i="19"/>
  <c r="AG64" i="19"/>
  <c r="AH64" i="19" s="1"/>
  <c r="AG65" i="19"/>
  <c r="AH65" i="19" s="1"/>
  <c r="AG66" i="19"/>
  <c r="AH66" i="19" s="1"/>
  <c r="AG67" i="19"/>
  <c r="AG68" i="19"/>
  <c r="AG69" i="19"/>
  <c r="AH69" i="19" s="1"/>
  <c r="AG70" i="19"/>
  <c r="AH70" i="19" s="1"/>
  <c r="AG71" i="19"/>
  <c r="AG63" i="19"/>
  <c r="AG32" i="19"/>
  <c r="AG12" i="19"/>
  <c r="W32" i="19"/>
  <c r="X32" i="19" s="1"/>
  <c r="W12" i="19"/>
  <c r="X12" i="19" s="1"/>
  <c r="AG52" i="19"/>
  <c r="AG53" i="19"/>
  <c r="AG54" i="19"/>
  <c r="AG55" i="19"/>
  <c r="AG56" i="19"/>
  <c r="AG57" i="19"/>
  <c r="AG58" i="19"/>
  <c r="AG59" i="19"/>
  <c r="AG60" i="19"/>
  <c r="AG9" i="19"/>
  <c r="AG10" i="19"/>
  <c r="AG11" i="19"/>
  <c r="AG8" i="19"/>
  <c r="W8" i="19"/>
  <c r="X59" i="19"/>
  <c r="X58" i="19"/>
  <c r="X52" i="19"/>
  <c r="X56" i="19"/>
  <c r="X57" i="19"/>
  <c r="X60" i="19"/>
  <c r="AH32" i="19" l="1"/>
  <c r="AH57" i="19"/>
  <c r="AG61" i="19"/>
  <c r="X8" i="19"/>
  <c r="AH8" i="19" s="1"/>
  <c r="W61" i="19"/>
  <c r="AH58" i="19"/>
  <c r="X39" i="15"/>
  <c r="AH39" i="15" s="1"/>
  <c r="W49" i="15"/>
  <c r="AH13" i="15"/>
  <c r="AD49" i="15"/>
  <c r="AG46" i="15"/>
  <c r="AH43" i="15"/>
  <c r="AH59" i="19"/>
  <c r="AH60" i="19"/>
  <c r="AH56" i="19"/>
  <c r="AG26" i="15"/>
  <c r="X46" i="15"/>
  <c r="AH52" i="19"/>
  <c r="J203" i="5"/>
  <c r="P196" i="5"/>
  <c r="AD186" i="5"/>
  <c r="AB186" i="5"/>
  <c r="AC186" i="5"/>
  <c r="AA186" i="5"/>
  <c r="S186" i="5"/>
  <c r="Q186" i="5"/>
  <c r="AH46" i="15" l="1"/>
  <c r="AE186" i="5"/>
  <c r="AD12" i="23" l="1"/>
  <c r="AD11" i="23"/>
  <c r="AD10" i="23"/>
  <c r="AD9" i="23"/>
  <c r="AD8" i="23"/>
  <c r="AD27" i="23" l="1"/>
  <c r="AC35" i="15"/>
  <c r="AG35" i="15" s="1"/>
  <c r="AC32" i="15"/>
  <c r="AG32" i="15" l="1"/>
  <c r="AC49" i="15"/>
  <c r="Z29" i="20"/>
  <c r="AC24" i="24"/>
  <c r="AC23" i="24"/>
  <c r="AC19" i="24"/>
  <c r="AC18" i="24"/>
  <c r="AC16" i="24"/>
  <c r="AC15" i="24"/>
  <c r="AC12" i="24"/>
  <c r="AC11" i="24"/>
  <c r="AC9" i="24"/>
  <c r="AC8" i="24"/>
  <c r="Z28" i="23" l="1"/>
  <c r="C34" i="23" s="1"/>
  <c r="P14" i="25"/>
  <c r="C13" i="25"/>
  <c r="C12" i="25"/>
  <c r="C8" i="25"/>
  <c r="C7" i="25"/>
  <c r="C6" i="25"/>
  <c r="Z49" i="15"/>
  <c r="E66" i="15" s="1"/>
  <c r="AA49" i="15"/>
  <c r="G66" i="15" s="1"/>
  <c r="AB49" i="15"/>
  <c r="N66" i="15" s="1"/>
  <c r="Y49" i="15"/>
  <c r="C66" i="15" s="1"/>
  <c r="AB50" i="15"/>
  <c r="N67" i="15" s="1"/>
  <c r="O67" i="15" s="1"/>
  <c r="Z50" i="15"/>
  <c r="E67" i="15" s="1"/>
  <c r="F67" i="15" s="1"/>
  <c r="AA50" i="15"/>
  <c r="G67" i="15" s="1"/>
  <c r="M67" i="15" s="1"/>
  <c r="Y50" i="15"/>
  <c r="C67" i="15" s="1"/>
  <c r="AB27" i="15"/>
  <c r="N57" i="15" s="1"/>
  <c r="Z27" i="15"/>
  <c r="E57" i="15" s="1"/>
  <c r="F57" i="15" s="1"/>
  <c r="AA27" i="15"/>
  <c r="G57" i="15" s="1"/>
  <c r="Y27" i="15"/>
  <c r="C57" i="15" s="1"/>
  <c r="Z73" i="19"/>
  <c r="E89" i="19" s="1"/>
  <c r="F89" i="19" s="1"/>
  <c r="AA73" i="19"/>
  <c r="G89" i="19" s="1"/>
  <c r="M89" i="19" s="1"/>
  <c r="AB73" i="19"/>
  <c r="N89" i="19" s="1"/>
  <c r="O89" i="19" s="1"/>
  <c r="Y73" i="19"/>
  <c r="C89" i="19" s="1"/>
  <c r="Z62" i="19"/>
  <c r="E79" i="19" s="1"/>
  <c r="AA62" i="19"/>
  <c r="G79" i="19" s="1"/>
  <c r="AB62" i="19"/>
  <c r="N79" i="19" s="1"/>
  <c r="O79" i="19" s="1"/>
  <c r="Y62" i="19"/>
  <c r="C79" i="19" s="1"/>
  <c r="Y12" i="20"/>
  <c r="J40" i="20" s="1"/>
  <c r="W12" i="20"/>
  <c r="E40" i="20" s="1"/>
  <c r="X12" i="20"/>
  <c r="V12" i="20"/>
  <c r="V17" i="20"/>
  <c r="C50" i="20" s="1"/>
  <c r="Y24" i="20"/>
  <c r="J62" i="20" s="1"/>
  <c r="W24" i="20"/>
  <c r="E62" i="20" s="1"/>
  <c r="X24" i="20"/>
  <c r="G62" i="20" s="1"/>
  <c r="V24" i="20"/>
  <c r="C62" i="20" s="1"/>
  <c r="W33" i="20"/>
  <c r="E75" i="20" s="1"/>
  <c r="X33" i="20"/>
  <c r="G75" i="20" s="1"/>
  <c r="Y33" i="20"/>
  <c r="J75" i="20" s="1"/>
  <c r="C75" i="20"/>
  <c r="AA28" i="23"/>
  <c r="E34" i="23" s="1"/>
  <c r="AB28" i="23"/>
  <c r="G34" i="23" s="1"/>
  <c r="AC28" i="23"/>
  <c r="N34" i="23" s="1"/>
  <c r="B52" i="24"/>
  <c r="B42" i="24"/>
  <c r="AD10" i="24"/>
  <c r="D36" i="24" s="1"/>
  <c r="AE10" i="24"/>
  <c r="F36" i="24" s="1"/>
  <c r="AF10" i="24"/>
  <c r="H36" i="24" s="1"/>
  <c r="AG10" i="24"/>
  <c r="AH10" i="24"/>
  <c r="AC10" i="24"/>
  <c r="B36" i="24" s="1"/>
  <c r="Z10" i="24"/>
  <c r="E32" i="24" s="1"/>
  <c r="AA10" i="24"/>
  <c r="G32" i="24" s="1"/>
  <c r="AB10" i="24"/>
  <c r="N32" i="24" s="1"/>
  <c r="Y10" i="24"/>
  <c r="C32" i="24" s="1"/>
  <c r="W10" i="24"/>
  <c r="R10" i="24"/>
  <c r="S10" i="24"/>
  <c r="T10" i="24"/>
  <c r="Q10" i="24"/>
  <c r="O10" i="24"/>
  <c r="B32" i="24" s="1"/>
  <c r="Z26" i="24"/>
  <c r="E52" i="24" s="1"/>
  <c r="AA26" i="24"/>
  <c r="G52" i="24" s="1"/>
  <c r="AB26" i="24"/>
  <c r="N52" i="24" s="1"/>
  <c r="Y26" i="24"/>
  <c r="C52" i="24" s="1"/>
  <c r="AD20" i="24"/>
  <c r="D46" i="24" s="1"/>
  <c r="AE20" i="24"/>
  <c r="AF20" i="24"/>
  <c r="AG20" i="24"/>
  <c r="AH20" i="24"/>
  <c r="AC20" i="24"/>
  <c r="Z20" i="24"/>
  <c r="Z21" i="24" s="1"/>
  <c r="E42" i="24" s="1"/>
  <c r="AA20" i="24"/>
  <c r="AA21" i="24" s="1"/>
  <c r="G42" i="24" s="1"/>
  <c r="AB20" i="24"/>
  <c r="AB21" i="24" s="1"/>
  <c r="N42" i="24" s="1"/>
  <c r="Y20" i="24"/>
  <c r="Y21" i="24" s="1"/>
  <c r="C42" i="24" s="1"/>
  <c r="W20" i="24"/>
  <c r="R20" i="24"/>
  <c r="S20" i="24"/>
  <c r="T20" i="24"/>
  <c r="Q20" i="24"/>
  <c r="O20" i="24"/>
  <c r="B41" i="24" s="1"/>
  <c r="AD25" i="24"/>
  <c r="AE25" i="24"/>
  <c r="F56" i="24" s="1"/>
  <c r="AF25" i="24"/>
  <c r="H46" i="24" s="1"/>
  <c r="AG25" i="24"/>
  <c r="AH25" i="24"/>
  <c r="AC25" i="24"/>
  <c r="B46" i="24" s="1"/>
  <c r="Z25" i="24"/>
  <c r="E51" i="24" s="1"/>
  <c r="AA25" i="24"/>
  <c r="G51" i="24" s="1"/>
  <c r="AB25" i="24"/>
  <c r="N51" i="24" s="1"/>
  <c r="Y25" i="24"/>
  <c r="C51" i="24" s="1"/>
  <c r="W25" i="24"/>
  <c r="T26" i="24"/>
  <c r="S26" i="24"/>
  <c r="R26" i="24"/>
  <c r="Q26" i="24"/>
  <c r="R25" i="24"/>
  <c r="S25" i="24"/>
  <c r="T25" i="24"/>
  <c r="Q25" i="24"/>
  <c r="O25" i="24"/>
  <c r="B51" i="24" s="1"/>
  <c r="N46" i="23"/>
  <c r="O12" i="25" s="1"/>
  <c r="G46" i="23"/>
  <c r="L12" i="25" s="1"/>
  <c r="E46" i="23"/>
  <c r="I12" i="25" s="1"/>
  <c r="M50" i="23"/>
  <c r="AE27" i="23"/>
  <c r="D38" i="23" s="1"/>
  <c r="D50" i="23" s="1"/>
  <c r="D25" i="25" s="1"/>
  <c r="AF27" i="23"/>
  <c r="F38" i="23" s="1"/>
  <c r="F50" i="23" s="1"/>
  <c r="E25" i="25" s="1"/>
  <c r="AG27" i="23"/>
  <c r="H38" i="23" s="1"/>
  <c r="H50" i="23" s="1"/>
  <c r="F25" i="25" s="1"/>
  <c r="AH27" i="23"/>
  <c r="AI27" i="23"/>
  <c r="B38" i="23"/>
  <c r="B50" i="23" s="1"/>
  <c r="C25" i="25" s="1"/>
  <c r="AA27" i="23"/>
  <c r="E33" i="23" s="1"/>
  <c r="E45" i="23" s="1"/>
  <c r="H12" i="25" s="1"/>
  <c r="AB27" i="23"/>
  <c r="G33" i="23" s="1"/>
  <c r="G45" i="23" s="1"/>
  <c r="K12" i="25" s="1"/>
  <c r="AC27" i="23"/>
  <c r="N33" i="23" s="1"/>
  <c r="N45" i="23" s="1"/>
  <c r="N12" i="25" s="1"/>
  <c r="S28" i="23"/>
  <c r="Q28" i="23"/>
  <c r="Q27" i="23"/>
  <c r="R27" i="23"/>
  <c r="S27" i="23"/>
  <c r="T27" i="23"/>
  <c r="O28" i="23"/>
  <c r="B34" i="23" s="1"/>
  <c r="O27" i="23"/>
  <c r="B33" i="23" s="1"/>
  <c r="AH13" i="22"/>
  <c r="AG13" i="22"/>
  <c r="AF13" i="22"/>
  <c r="AE13" i="22"/>
  <c r="H34" i="22" s="1"/>
  <c r="AD13" i="22"/>
  <c r="AC13" i="22"/>
  <c r="B34" i="22" s="1"/>
  <c r="Z13" i="22"/>
  <c r="E30" i="22" s="1"/>
  <c r="AA13" i="22"/>
  <c r="G30" i="22" s="1"/>
  <c r="AB13" i="22"/>
  <c r="N30" i="22" s="1"/>
  <c r="Y13" i="22"/>
  <c r="C30" i="22" s="1"/>
  <c r="W13" i="22"/>
  <c r="T13" i="22"/>
  <c r="S13" i="22"/>
  <c r="R13" i="22"/>
  <c r="Q13" i="22"/>
  <c r="O13" i="22"/>
  <c r="B30" i="22" s="1"/>
  <c r="AD10" i="22"/>
  <c r="D25" i="22" s="1"/>
  <c r="AE10" i="22"/>
  <c r="F25" i="22" s="1"/>
  <c r="AF10" i="22"/>
  <c r="H25" i="22" s="1"/>
  <c r="AG10" i="22"/>
  <c r="AH10" i="22"/>
  <c r="AC10" i="22"/>
  <c r="B25" i="22" s="1"/>
  <c r="Z10" i="22"/>
  <c r="E21" i="22" s="1"/>
  <c r="AA10" i="22"/>
  <c r="G21" i="22" s="1"/>
  <c r="AB10" i="22"/>
  <c r="N21" i="22" s="1"/>
  <c r="Y10" i="22"/>
  <c r="C21" i="22" s="1"/>
  <c r="W10" i="22"/>
  <c r="T10" i="22"/>
  <c r="S10" i="22"/>
  <c r="R10" i="22"/>
  <c r="Q10" i="22"/>
  <c r="O10" i="22"/>
  <c r="B21" i="22" s="1"/>
  <c r="R30" i="21"/>
  <c r="S30" i="21"/>
  <c r="T30" i="21"/>
  <c r="Q30" i="21"/>
  <c r="O30" i="21"/>
  <c r="B45" i="21" s="1"/>
  <c r="AD30" i="21"/>
  <c r="D49" i="21" s="1"/>
  <c r="AE30" i="21"/>
  <c r="F49" i="21" s="1"/>
  <c r="AF30" i="21"/>
  <c r="H49" i="21" s="1"/>
  <c r="AG30" i="21"/>
  <c r="AH30" i="21"/>
  <c r="AC30" i="21"/>
  <c r="B49" i="21" s="1"/>
  <c r="Z30" i="21"/>
  <c r="E45" i="21" s="1"/>
  <c r="AA30" i="21"/>
  <c r="G45" i="21" s="1"/>
  <c r="AB30" i="21"/>
  <c r="N45" i="21" s="1"/>
  <c r="Y30" i="21"/>
  <c r="C45" i="21" s="1"/>
  <c r="W30" i="21"/>
  <c r="AD18" i="21"/>
  <c r="D40" i="21" s="1"/>
  <c r="AE18" i="21"/>
  <c r="F40" i="21" s="1"/>
  <c r="AF18" i="21"/>
  <c r="H40" i="21" s="1"/>
  <c r="AG18" i="21"/>
  <c r="AH18" i="21"/>
  <c r="AC18" i="21"/>
  <c r="B40" i="21" s="1"/>
  <c r="Z18" i="21"/>
  <c r="E36" i="21" s="1"/>
  <c r="AA18" i="21"/>
  <c r="G36" i="21" s="1"/>
  <c r="AB18" i="21"/>
  <c r="N36" i="21" s="1"/>
  <c r="Y18" i="21"/>
  <c r="C36" i="21" s="1"/>
  <c r="T18" i="21"/>
  <c r="S18" i="21"/>
  <c r="R18" i="21"/>
  <c r="Q18" i="21"/>
  <c r="O18" i="21"/>
  <c r="B36" i="21" s="1"/>
  <c r="X35" i="21"/>
  <c r="U36" i="21"/>
  <c r="B75" i="20"/>
  <c r="B62" i="20"/>
  <c r="B50" i="20"/>
  <c r="B40" i="20"/>
  <c r="AC32" i="20"/>
  <c r="H79" i="20" s="1"/>
  <c r="AB32" i="20"/>
  <c r="F79" i="20" s="1"/>
  <c r="AA32" i="20"/>
  <c r="D79" i="20" s="1"/>
  <c r="Z32" i="20"/>
  <c r="B79" i="20" s="1"/>
  <c r="Y32" i="20"/>
  <c r="J74" i="20" s="1"/>
  <c r="X32" i="20"/>
  <c r="G74" i="20" s="1"/>
  <c r="W32" i="20"/>
  <c r="E74" i="20" s="1"/>
  <c r="V32" i="20"/>
  <c r="C74" i="20" s="1"/>
  <c r="P32" i="20"/>
  <c r="O32" i="20"/>
  <c r="N32" i="20"/>
  <c r="M32" i="20"/>
  <c r="K32" i="20"/>
  <c r="B74" i="20" s="1"/>
  <c r="AA23" i="20"/>
  <c r="D67" i="20" s="1"/>
  <c r="AB23" i="20"/>
  <c r="F67" i="20" s="1"/>
  <c r="AC23" i="20"/>
  <c r="H67" i="20" s="1"/>
  <c r="AD23" i="20"/>
  <c r="AE23" i="20"/>
  <c r="Z23" i="20"/>
  <c r="B67" i="20" s="1"/>
  <c r="W23" i="20"/>
  <c r="E61" i="20" s="1"/>
  <c r="X23" i="20"/>
  <c r="G61" i="20" s="1"/>
  <c r="Y23" i="20"/>
  <c r="J61" i="20" s="1"/>
  <c r="W25" i="20"/>
  <c r="E63" i="20" s="1"/>
  <c r="E87" i="20" s="1"/>
  <c r="J9" i="25" s="1"/>
  <c r="J14" i="25" s="1"/>
  <c r="X25" i="20"/>
  <c r="G63" i="20" s="1"/>
  <c r="G87" i="20" s="1"/>
  <c r="M9" i="25" s="1"/>
  <c r="M14" i="25" s="1"/>
  <c r="Y25" i="20"/>
  <c r="J63" i="20" s="1"/>
  <c r="J87" i="20" s="1"/>
  <c r="V25" i="20"/>
  <c r="C63" i="20" s="1"/>
  <c r="C87" i="20" s="1"/>
  <c r="G9" i="25" s="1"/>
  <c r="G14" i="25" s="1"/>
  <c r="V23" i="20"/>
  <c r="C61" i="20" s="1"/>
  <c r="N23" i="20"/>
  <c r="O23" i="20"/>
  <c r="P23" i="20"/>
  <c r="N25" i="20"/>
  <c r="O25" i="20"/>
  <c r="P25" i="20"/>
  <c r="M25" i="20"/>
  <c r="M23" i="20"/>
  <c r="K23" i="20"/>
  <c r="B61" i="20" s="1"/>
  <c r="K25" i="20"/>
  <c r="B63" i="20" s="1"/>
  <c r="AA16" i="20"/>
  <c r="D54" i="20" s="1"/>
  <c r="AB16" i="20"/>
  <c r="F54" i="20" s="1"/>
  <c r="AC16" i="20"/>
  <c r="H54" i="20" s="1"/>
  <c r="AD16" i="20"/>
  <c r="AE16" i="20"/>
  <c r="Z16" i="20"/>
  <c r="B54" i="20" s="1"/>
  <c r="W17" i="20"/>
  <c r="E50" i="20" s="1"/>
  <c r="X17" i="20"/>
  <c r="G50" i="20" s="1"/>
  <c r="Y17" i="20"/>
  <c r="J50" i="20" s="1"/>
  <c r="W16" i="20"/>
  <c r="E49" i="20" s="1"/>
  <c r="X16" i="20"/>
  <c r="G49" i="20" s="1"/>
  <c r="Y16" i="20"/>
  <c r="J49" i="20" s="1"/>
  <c r="V16" i="20"/>
  <c r="C49" i="20" s="1"/>
  <c r="S16" i="20"/>
  <c r="N16" i="20"/>
  <c r="O16" i="20"/>
  <c r="P16" i="20"/>
  <c r="M16" i="20"/>
  <c r="K16" i="20"/>
  <c r="B49" i="20" s="1"/>
  <c r="AA11" i="20"/>
  <c r="D44" i="20" s="1"/>
  <c r="AB11" i="20"/>
  <c r="F44" i="20" s="1"/>
  <c r="AC11" i="20"/>
  <c r="H44" i="20" s="1"/>
  <c r="AD11" i="20"/>
  <c r="AE11" i="20"/>
  <c r="Z11" i="20"/>
  <c r="B44" i="20" s="1"/>
  <c r="W11" i="20"/>
  <c r="E39" i="20" s="1"/>
  <c r="X11" i="20"/>
  <c r="Y11" i="20"/>
  <c r="J39" i="20" s="1"/>
  <c r="V11" i="20"/>
  <c r="C39" i="20" s="1"/>
  <c r="U11" i="20"/>
  <c r="A44" i="20" s="1"/>
  <c r="S11" i="20"/>
  <c r="N11" i="20"/>
  <c r="O11" i="20"/>
  <c r="P11" i="20"/>
  <c r="M11" i="20"/>
  <c r="K11" i="20"/>
  <c r="B39" i="20" s="1"/>
  <c r="M93" i="19"/>
  <c r="F93" i="19"/>
  <c r="D93" i="19"/>
  <c r="B93" i="19"/>
  <c r="M83" i="19"/>
  <c r="F83" i="19"/>
  <c r="AG72" i="19"/>
  <c r="AF72" i="19"/>
  <c r="AE72" i="19"/>
  <c r="AD72" i="19"/>
  <c r="AC72" i="19"/>
  <c r="V72" i="19"/>
  <c r="Z72" i="19"/>
  <c r="E88" i="19" s="1"/>
  <c r="AA72" i="19"/>
  <c r="G88" i="19" s="1"/>
  <c r="AB72" i="19"/>
  <c r="N88" i="19" s="1"/>
  <c r="Y72" i="19"/>
  <c r="C88" i="19" s="1"/>
  <c r="Q72" i="19"/>
  <c r="R72" i="19"/>
  <c r="S72" i="19"/>
  <c r="P72" i="19"/>
  <c r="N72" i="19"/>
  <c r="B88" i="19" s="1"/>
  <c r="B83" i="19"/>
  <c r="Z61" i="19"/>
  <c r="E78" i="19" s="1"/>
  <c r="AA61" i="19"/>
  <c r="G78" i="19" s="1"/>
  <c r="AB61" i="19"/>
  <c r="N78" i="19" s="1"/>
  <c r="Y61" i="19"/>
  <c r="C78" i="19" s="1"/>
  <c r="Q61" i="19"/>
  <c r="R61" i="19"/>
  <c r="S61" i="19"/>
  <c r="P61" i="19"/>
  <c r="N61" i="19"/>
  <c r="B78" i="19" s="1"/>
  <c r="Q49" i="15"/>
  <c r="R49" i="15"/>
  <c r="S49" i="15"/>
  <c r="P49" i="15"/>
  <c r="P50" i="15" s="1"/>
  <c r="N49" i="15"/>
  <c r="B66" i="15" s="1"/>
  <c r="AG49" i="15"/>
  <c r="D71" i="15"/>
  <c r="AE49" i="15"/>
  <c r="F71" i="15" s="1"/>
  <c r="AF49" i="15"/>
  <c r="M71" i="15" s="1"/>
  <c r="B71" i="15"/>
  <c r="D61" i="15"/>
  <c r="F61" i="15"/>
  <c r="M61" i="15"/>
  <c r="AC26" i="15"/>
  <c r="B61" i="15" s="1"/>
  <c r="Z26" i="15"/>
  <c r="E56" i="15" s="1"/>
  <c r="AA26" i="15"/>
  <c r="G56" i="15" s="1"/>
  <c r="AB26" i="15"/>
  <c r="N56" i="15" s="1"/>
  <c r="Y26" i="15"/>
  <c r="C56" i="15" s="1"/>
  <c r="Q26" i="15"/>
  <c r="R26" i="15"/>
  <c r="S26" i="15"/>
  <c r="P26" i="15"/>
  <c r="N26" i="15"/>
  <c r="B56" i="15" s="1"/>
  <c r="M60" i="14"/>
  <c r="M59" i="14"/>
  <c r="M48" i="14"/>
  <c r="M47" i="14"/>
  <c r="M38" i="14"/>
  <c r="O38" i="14" s="1"/>
  <c r="M37" i="14"/>
  <c r="D38" i="14"/>
  <c r="F38" i="14" s="1"/>
  <c r="D28" i="14"/>
  <c r="F28" i="14"/>
  <c r="M28" i="14"/>
  <c r="O28" i="14"/>
  <c r="M56" i="24"/>
  <c r="M46" i="24"/>
  <c r="M36" i="24"/>
  <c r="U30" i="24"/>
  <c r="X24" i="24"/>
  <c r="X23" i="24"/>
  <c r="X22" i="24"/>
  <c r="X19" i="24"/>
  <c r="X18" i="24"/>
  <c r="X17" i="24"/>
  <c r="X16" i="24"/>
  <c r="X15" i="24"/>
  <c r="X14" i="24"/>
  <c r="X13" i="24"/>
  <c r="X12" i="24"/>
  <c r="X11" i="24"/>
  <c r="X9" i="24"/>
  <c r="AX8" i="24"/>
  <c r="AY8" i="24" s="1"/>
  <c r="X8" i="24"/>
  <c r="M38" i="23"/>
  <c r="Y24" i="23"/>
  <c r="Y19" i="23"/>
  <c r="Y15" i="23"/>
  <c r="W8" i="23"/>
  <c r="M34" i="22"/>
  <c r="M25" i="22"/>
  <c r="U16" i="22"/>
  <c r="X12" i="22"/>
  <c r="X11" i="22"/>
  <c r="AX9" i="22"/>
  <c r="X9" i="22"/>
  <c r="X8" i="22"/>
  <c r="M49" i="21"/>
  <c r="M40" i="21"/>
  <c r="U33" i="21"/>
  <c r="X29" i="21"/>
  <c r="X28" i="21"/>
  <c r="X25" i="21"/>
  <c r="X24" i="21"/>
  <c r="X22" i="21"/>
  <c r="X21" i="21"/>
  <c r="X19" i="21"/>
  <c r="X17" i="21"/>
  <c r="W15" i="21"/>
  <c r="X15" i="21" s="1"/>
  <c r="W14" i="21"/>
  <c r="X14" i="21" s="1"/>
  <c r="W13" i="21"/>
  <c r="X13" i="21" s="1"/>
  <c r="W11" i="21"/>
  <c r="X11" i="21" s="1"/>
  <c r="Q35" i="20"/>
  <c r="S26" i="20"/>
  <c r="U26" i="20" s="1"/>
  <c r="U22" i="20"/>
  <c r="U21" i="20"/>
  <c r="U20" i="20"/>
  <c r="N20" i="20"/>
  <c r="O20" i="20" s="1"/>
  <c r="U19" i="20"/>
  <c r="S18" i="20"/>
  <c r="U18" i="20" s="1"/>
  <c r="U15" i="20"/>
  <c r="U14" i="20"/>
  <c r="U13" i="20"/>
  <c r="T74" i="19"/>
  <c r="X71" i="19"/>
  <c r="X68" i="19"/>
  <c r="AH68" i="19" s="1"/>
  <c r="X67" i="19"/>
  <c r="AH67" i="19" s="1"/>
  <c r="X63" i="19"/>
  <c r="AH63" i="19" s="1"/>
  <c r="AH12" i="19"/>
  <c r="X9" i="19"/>
  <c r="AH9" i="19" s="1"/>
  <c r="T52" i="15"/>
  <c r="X45" i="15"/>
  <c r="AH45" i="15" s="1"/>
  <c r="X44" i="15"/>
  <c r="AH44" i="15" s="1"/>
  <c r="X37" i="15"/>
  <c r="AH37" i="15" s="1"/>
  <c r="V35" i="15"/>
  <c r="AH34" i="15"/>
  <c r="AH33" i="15"/>
  <c r="V32" i="15"/>
  <c r="X30" i="15"/>
  <c r="AH30" i="15" s="1"/>
  <c r="X28" i="15"/>
  <c r="X25" i="15"/>
  <c r="AH25" i="15" s="1"/>
  <c r="X24" i="15"/>
  <c r="AH24" i="15" s="1"/>
  <c r="X23" i="15"/>
  <c r="AH23" i="15" s="1"/>
  <c r="X22" i="15"/>
  <c r="AH22" i="15" s="1"/>
  <c r="X21" i="15"/>
  <c r="AH21" i="15" s="1"/>
  <c r="X20" i="15"/>
  <c r="AH20" i="15" s="1"/>
  <c r="X19" i="15"/>
  <c r="V18" i="15"/>
  <c r="X18" i="15" s="1"/>
  <c r="AH18" i="15" s="1"/>
  <c r="V16" i="15"/>
  <c r="X16" i="15" s="1"/>
  <c r="AH16" i="15" s="1"/>
  <c r="X15" i="15"/>
  <c r="AH15" i="15" s="1"/>
  <c r="V14" i="15"/>
  <c r="X14" i="15" s="1"/>
  <c r="AH14" i="15" s="1"/>
  <c r="V12" i="15"/>
  <c r="X12" i="15" s="1"/>
  <c r="AH12" i="15" s="1"/>
  <c r="X10" i="15"/>
  <c r="AH10" i="15" s="1"/>
  <c r="X8" i="15"/>
  <c r="AH8" i="15" s="1"/>
  <c r="Y23" i="14"/>
  <c r="E48" i="14" s="1"/>
  <c r="E60" i="14" s="1"/>
  <c r="I6" i="25" s="1"/>
  <c r="Z23" i="14"/>
  <c r="G48" i="14" s="1"/>
  <c r="G60" i="14" s="1"/>
  <c r="L6" i="25" s="1"/>
  <c r="AA23" i="14"/>
  <c r="N48" i="14" s="1"/>
  <c r="N60" i="14" s="1"/>
  <c r="O6" i="25" s="1"/>
  <c r="X23" i="14"/>
  <c r="C48" i="14" s="1"/>
  <c r="P23" i="14"/>
  <c r="Q23" i="14"/>
  <c r="R23" i="14"/>
  <c r="S23" i="14"/>
  <c r="N23" i="14"/>
  <c r="B48" i="14" s="1"/>
  <c r="N22" i="14"/>
  <c r="B47" i="14" s="1"/>
  <c r="AG22" i="14"/>
  <c r="AF22" i="14"/>
  <c r="AE22" i="14"/>
  <c r="M52" i="14" s="1"/>
  <c r="N52" i="14" s="1"/>
  <c r="AD22" i="14"/>
  <c r="F52" i="14" s="1"/>
  <c r="AC22" i="14"/>
  <c r="D52" i="14" s="1"/>
  <c r="AB22" i="14"/>
  <c r="B52" i="14" s="1"/>
  <c r="AA22" i="14"/>
  <c r="N47" i="14" s="1"/>
  <c r="Z22" i="14"/>
  <c r="G47" i="14" s="1"/>
  <c r="Y22" i="14"/>
  <c r="E47" i="14" s="1"/>
  <c r="X22" i="14"/>
  <c r="C47" i="14" s="1"/>
  <c r="S22" i="14"/>
  <c r="R22" i="14"/>
  <c r="Q22" i="14"/>
  <c r="P22" i="14"/>
  <c r="AC17" i="14"/>
  <c r="D42" i="14" s="1"/>
  <c r="AD17" i="14"/>
  <c r="F42" i="14" s="1"/>
  <c r="AE17" i="14"/>
  <c r="M42" i="14" s="1"/>
  <c r="N42" i="14" s="1"/>
  <c r="AF17" i="14"/>
  <c r="AG17" i="14"/>
  <c r="AB17" i="14"/>
  <c r="B42" i="14" s="1"/>
  <c r="Y17" i="14"/>
  <c r="E37" i="14" s="1"/>
  <c r="Z17" i="14"/>
  <c r="G37" i="14" s="1"/>
  <c r="AA17" i="14"/>
  <c r="N37" i="14" s="1"/>
  <c r="X17" i="14"/>
  <c r="C37" i="14" s="1"/>
  <c r="P17" i="14"/>
  <c r="Q17" i="14"/>
  <c r="R17" i="14"/>
  <c r="S17" i="14"/>
  <c r="N17" i="14"/>
  <c r="B37" i="14" s="1"/>
  <c r="AF11" i="14"/>
  <c r="AG11" i="14"/>
  <c r="AC11" i="14"/>
  <c r="D32" i="14" s="1"/>
  <c r="AD11" i="14"/>
  <c r="F32" i="14" s="1"/>
  <c r="AE11" i="14"/>
  <c r="M32" i="14" s="1"/>
  <c r="N32" i="14" s="1"/>
  <c r="AB11" i="14"/>
  <c r="B32" i="14" s="1"/>
  <c r="Y11" i="14"/>
  <c r="Z11" i="14"/>
  <c r="G27" i="14" s="1"/>
  <c r="AA11" i="14"/>
  <c r="N27" i="14" s="1"/>
  <c r="X11" i="14"/>
  <c r="C27" i="14" s="1"/>
  <c r="Q11" i="14"/>
  <c r="R11" i="14"/>
  <c r="S11" i="14"/>
  <c r="P11" i="14"/>
  <c r="N11" i="14"/>
  <c r="B27" i="14" s="1"/>
  <c r="F27" i="14" s="1"/>
  <c r="T27" i="14"/>
  <c r="V18" i="14"/>
  <c r="W18" i="14" s="1"/>
  <c r="W22" i="14" s="1"/>
  <c r="V12" i="14"/>
  <c r="W12" i="14" s="1"/>
  <c r="W17" i="14" s="1"/>
  <c r="W10" i="14"/>
  <c r="W9" i="14"/>
  <c r="V7" i="14"/>
  <c r="W7" i="14" s="1"/>
  <c r="F36" i="21" l="1"/>
  <c r="W11" i="14"/>
  <c r="E55" i="21"/>
  <c r="H10" i="25" s="1"/>
  <c r="O21" i="22"/>
  <c r="G25" i="25"/>
  <c r="W27" i="23"/>
  <c r="Y8" i="23"/>
  <c r="O51" i="24"/>
  <c r="F34" i="23"/>
  <c r="H44" i="22"/>
  <c r="F24" i="25" s="1"/>
  <c r="AH28" i="15"/>
  <c r="H21" i="22"/>
  <c r="X35" i="15"/>
  <c r="AH35" i="15" s="1"/>
  <c r="X32" i="15"/>
  <c r="AH71" i="19"/>
  <c r="A93" i="19"/>
  <c r="N93" i="19" s="1"/>
  <c r="F34" i="22"/>
  <c r="D34" i="22"/>
  <c r="D44" i="22" s="1"/>
  <c r="D24" i="25" s="1"/>
  <c r="F104" i="19"/>
  <c r="E21" i="25" s="1"/>
  <c r="C99" i="19"/>
  <c r="E8" i="25" s="1"/>
  <c r="M82" i="15"/>
  <c r="F20" i="25" s="1"/>
  <c r="E59" i="14"/>
  <c r="H6" i="25" s="1"/>
  <c r="X10" i="22"/>
  <c r="A25" i="22" s="1"/>
  <c r="C25" i="22" s="1"/>
  <c r="B77" i="15"/>
  <c r="B7" i="25" s="1"/>
  <c r="N55" i="21"/>
  <c r="N10" i="25" s="1"/>
  <c r="Z27" i="23"/>
  <c r="J44" i="20"/>
  <c r="F59" i="21"/>
  <c r="E23" i="25" s="1"/>
  <c r="F46" i="24"/>
  <c r="F68" i="24" s="1"/>
  <c r="E26" i="25" s="1"/>
  <c r="B59" i="14"/>
  <c r="B6" i="25" s="1"/>
  <c r="N59" i="14"/>
  <c r="X72" i="19"/>
  <c r="AH72" i="19" s="1"/>
  <c r="M44" i="22"/>
  <c r="X25" i="24"/>
  <c r="A56" i="24" s="1"/>
  <c r="G56" i="24" s="1"/>
  <c r="O37" i="14"/>
  <c r="F56" i="15"/>
  <c r="D104" i="19"/>
  <c r="D21" i="25" s="1"/>
  <c r="H63" i="20"/>
  <c r="C55" i="21"/>
  <c r="E10" i="25" s="1"/>
  <c r="B59" i="21"/>
  <c r="C23" i="25" s="1"/>
  <c r="N41" i="24"/>
  <c r="O41" i="24" s="1"/>
  <c r="X10" i="24"/>
  <c r="A36" i="24" s="1"/>
  <c r="E36" i="24" s="1"/>
  <c r="N99" i="19"/>
  <c r="N8" i="25" s="1"/>
  <c r="C40" i="22"/>
  <c r="E11" i="25" s="1"/>
  <c r="M27" i="14"/>
  <c r="D56" i="15"/>
  <c r="M78" i="19"/>
  <c r="E99" i="19"/>
  <c r="M104" i="19"/>
  <c r="F21" i="25" s="1"/>
  <c r="G55" i="21"/>
  <c r="K10" i="25" s="1"/>
  <c r="H36" i="21"/>
  <c r="F51" i="24"/>
  <c r="N64" i="24"/>
  <c r="O13" i="25" s="1"/>
  <c r="H42" i="24"/>
  <c r="D52" i="24"/>
  <c r="H59" i="21"/>
  <c r="F23" i="25" s="1"/>
  <c r="G40" i="22"/>
  <c r="K11" i="25" s="1"/>
  <c r="G64" i="24"/>
  <c r="H64" i="24" s="1"/>
  <c r="E41" i="24"/>
  <c r="F41" i="24" s="1"/>
  <c r="H56" i="24"/>
  <c r="H68" i="24" s="1"/>
  <c r="F26" i="25" s="1"/>
  <c r="B82" i="15"/>
  <c r="C20" i="25" s="1"/>
  <c r="F88" i="19"/>
  <c r="M88" i="19"/>
  <c r="B99" i="19"/>
  <c r="O88" i="19"/>
  <c r="D88" i="19"/>
  <c r="G99" i="19"/>
  <c r="O30" i="22"/>
  <c r="D30" i="22"/>
  <c r="F30" i="22"/>
  <c r="B40" i="22"/>
  <c r="H30" i="22"/>
  <c r="F45" i="21"/>
  <c r="D45" i="21"/>
  <c r="O45" i="21"/>
  <c r="B55" i="21"/>
  <c r="G59" i="14"/>
  <c r="K6" i="25" s="1"/>
  <c r="F64" i="14"/>
  <c r="E19" i="25" s="1"/>
  <c r="O27" i="14"/>
  <c r="F82" i="15"/>
  <c r="E20" i="25" s="1"/>
  <c r="F78" i="19"/>
  <c r="D78" i="19"/>
  <c r="O78" i="19"/>
  <c r="B104" i="19"/>
  <c r="C21" i="25" s="1"/>
  <c r="E100" i="19"/>
  <c r="F100" i="19" s="1"/>
  <c r="M64" i="14"/>
  <c r="F19" i="25" s="1"/>
  <c r="O60" i="14"/>
  <c r="D82" i="15"/>
  <c r="D20" i="25" s="1"/>
  <c r="H45" i="21"/>
  <c r="C36" i="24"/>
  <c r="X13" i="22"/>
  <c r="A34" i="22" s="1"/>
  <c r="N34" i="22" s="1"/>
  <c r="O47" i="14"/>
  <c r="M56" i="15"/>
  <c r="D34" i="23"/>
  <c r="C46" i="23"/>
  <c r="D27" i="14"/>
  <c r="X61" i="19"/>
  <c r="M66" i="15"/>
  <c r="O56" i="15"/>
  <c r="D56" i="24"/>
  <c r="E64" i="24"/>
  <c r="E40" i="22"/>
  <c r="H11" i="25" s="1"/>
  <c r="F33" i="23"/>
  <c r="O33" i="23"/>
  <c r="X20" i="24"/>
  <c r="A46" i="24" s="1"/>
  <c r="C46" i="24" s="1"/>
  <c r="O48" i="14"/>
  <c r="D47" i="14"/>
  <c r="F47" i="14" s="1"/>
  <c r="X26" i="15"/>
  <c r="O66" i="15"/>
  <c r="D59" i="21"/>
  <c r="D23" i="25" s="1"/>
  <c r="N40" i="22"/>
  <c r="N11" i="25" s="1"/>
  <c r="F44" i="22"/>
  <c r="E24" i="25" s="1"/>
  <c r="H33" i="23"/>
  <c r="D51" i="24"/>
  <c r="H51" i="24"/>
  <c r="B63" i="24"/>
  <c r="C64" i="24"/>
  <c r="B45" i="23"/>
  <c r="B12" i="25" s="1"/>
  <c r="O36" i="21"/>
  <c r="B44" i="22"/>
  <c r="C24" i="25" s="1"/>
  <c r="F21" i="22"/>
  <c r="F42" i="24"/>
  <c r="O52" i="24"/>
  <c r="F52" i="24"/>
  <c r="B56" i="24"/>
  <c r="O34" i="23"/>
  <c r="D49" i="20"/>
  <c r="F74" i="20"/>
  <c r="D36" i="21"/>
  <c r="D21" i="22"/>
  <c r="C41" i="24"/>
  <c r="C63" i="24" s="1"/>
  <c r="E13" i="25" s="1"/>
  <c r="G41" i="24"/>
  <c r="H41" i="24" s="1"/>
  <c r="H34" i="23"/>
  <c r="D42" i="24"/>
  <c r="H52" i="24"/>
  <c r="F66" i="15"/>
  <c r="E77" i="15"/>
  <c r="G77" i="15"/>
  <c r="N77" i="15"/>
  <c r="D66" i="15"/>
  <c r="C77" i="15"/>
  <c r="N78" i="15"/>
  <c r="O57" i="15"/>
  <c r="M57" i="15"/>
  <c r="G78" i="15"/>
  <c r="E78" i="15"/>
  <c r="D57" i="15"/>
  <c r="C78" i="15"/>
  <c r="C100" i="19"/>
  <c r="G100" i="19"/>
  <c r="M100" i="19" s="1"/>
  <c r="M79" i="19"/>
  <c r="F79" i="19"/>
  <c r="N100" i="19"/>
  <c r="D79" i="19"/>
  <c r="D32" i="24"/>
  <c r="F32" i="24"/>
  <c r="H32" i="24"/>
  <c r="O32" i="24"/>
  <c r="M68" i="24"/>
  <c r="E63" i="24"/>
  <c r="H13" i="25" s="1"/>
  <c r="O46" i="23"/>
  <c r="F46" i="23"/>
  <c r="H46" i="23"/>
  <c r="X18" i="21"/>
  <c r="A40" i="21" s="1"/>
  <c r="X30" i="21"/>
  <c r="A49" i="21" s="1"/>
  <c r="N49" i="21" s="1"/>
  <c r="W18" i="21"/>
  <c r="M59" i="21"/>
  <c r="E85" i="20"/>
  <c r="H9" i="25" s="1"/>
  <c r="K62" i="20"/>
  <c r="K50" i="20"/>
  <c r="F62" i="20"/>
  <c r="K39" i="20"/>
  <c r="H49" i="20"/>
  <c r="H61" i="20"/>
  <c r="C85" i="20"/>
  <c r="E9" i="25" s="1"/>
  <c r="F75" i="20"/>
  <c r="K49" i="20"/>
  <c r="J86" i="20"/>
  <c r="B91" i="20"/>
  <c r="C22" i="25" s="1"/>
  <c r="H62" i="20"/>
  <c r="F49" i="20"/>
  <c r="D91" i="20"/>
  <c r="D22" i="25" s="1"/>
  <c r="F91" i="20"/>
  <c r="E22" i="25" s="1"/>
  <c r="H91" i="20"/>
  <c r="F22" i="25" s="1"/>
  <c r="K40" i="20"/>
  <c r="J85" i="20"/>
  <c r="N9" i="25" s="1"/>
  <c r="F39" i="20"/>
  <c r="C44" i="20"/>
  <c r="D62" i="20"/>
  <c r="H74" i="20"/>
  <c r="F40" i="20"/>
  <c r="E44" i="20"/>
  <c r="F50" i="20"/>
  <c r="F61" i="20"/>
  <c r="K61" i="20"/>
  <c r="H75" i="20"/>
  <c r="E86" i="20"/>
  <c r="G44" i="20"/>
  <c r="F63" i="20"/>
  <c r="K63" i="20"/>
  <c r="D74" i="20"/>
  <c r="K74" i="20"/>
  <c r="B85" i="20"/>
  <c r="B9" i="25" s="1"/>
  <c r="D39" i="20"/>
  <c r="H50" i="20"/>
  <c r="D75" i="20"/>
  <c r="K75" i="20"/>
  <c r="B87" i="20"/>
  <c r="D9" i="25" s="1"/>
  <c r="D14" i="25" s="1"/>
  <c r="D61" i="20"/>
  <c r="D50" i="20"/>
  <c r="D63" i="20"/>
  <c r="U16" i="20"/>
  <c r="A54" i="20" s="1"/>
  <c r="C54" i="20" s="1"/>
  <c r="U32" i="20"/>
  <c r="A79" i="20" s="1"/>
  <c r="U23" i="20"/>
  <c r="A67" i="20" s="1"/>
  <c r="S32" i="20"/>
  <c r="S23" i="20"/>
  <c r="G39" i="20"/>
  <c r="H39" i="20" s="1"/>
  <c r="G40" i="20"/>
  <c r="H40" i="20" s="1"/>
  <c r="V61" i="19"/>
  <c r="V49" i="15"/>
  <c r="V26" i="15"/>
  <c r="D48" i="14"/>
  <c r="F48" i="14" s="1"/>
  <c r="C60" i="14"/>
  <c r="C59" i="14"/>
  <c r="D37" i="14"/>
  <c r="F37" i="14" s="1"/>
  <c r="AR31" i="23"/>
  <c r="U33" i="23"/>
  <c r="V30" i="23"/>
  <c r="U29" i="23"/>
  <c r="V20" i="22"/>
  <c r="AQ21" i="22"/>
  <c r="AQ37" i="21"/>
  <c r="AN40" i="20"/>
  <c r="AQ79" i="19"/>
  <c r="AE57" i="15"/>
  <c r="D64" i="14"/>
  <c r="D19" i="25" s="1"/>
  <c r="B64" i="14"/>
  <c r="V22" i="14"/>
  <c r="A52" i="14" s="1"/>
  <c r="C52" i="14" s="1"/>
  <c r="E52" i="14" s="1"/>
  <c r="G52" i="14" s="1"/>
  <c r="V17" i="14"/>
  <c r="A42" i="14" s="1"/>
  <c r="C42" i="14" s="1"/>
  <c r="E42" i="14" s="1"/>
  <c r="G42" i="14" s="1"/>
  <c r="V11" i="14"/>
  <c r="A32" i="14" s="1"/>
  <c r="E32" i="14" s="1"/>
  <c r="AQ34" i="14"/>
  <c r="N36" i="24" l="1"/>
  <c r="E54" i="20"/>
  <c r="G20" i="25"/>
  <c r="F27" i="25"/>
  <c r="X49" i="15"/>
  <c r="AH49" i="15" s="1"/>
  <c r="N46" i="24"/>
  <c r="E27" i="25"/>
  <c r="G21" i="25"/>
  <c r="G24" i="25"/>
  <c r="G22" i="25"/>
  <c r="G23" i="25"/>
  <c r="E25" i="22"/>
  <c r="C93" i="19"/>
  <c r="G46" i="24"/>
  <c r="G25" i="22"/>
  <c r="AH32" i="15"/>
  <c r="AH26" i="15"/>
  <c r="A61" i="15"/>
  <c r="E61" i="15" s="1"/>
  <c r="G54" i="20"/>
  <c r="E49" i="21"/>
  <c r="J54" i="20"/>
  <c r="F45" i="23"/>
  <c r="C56" i="24"/>
  <c r="A44" i="22"/>
  <c r="G44" i="22" s="1"/>
  <c r="N25" i="22"/>
  <c r="E56" i="24"/>
  <c r="AH61" i="19"/>
  <c r="A83" i="19"/>
  <c r="E83" i="19" s="1"/>
  <c r="G49" i="21"/>
  <c r="G36" i="24"/>
  <c r="G93" i="19"/>
  <c r="N56" i="24"/>
  <c r="C49" i="21"/>
  <c r="G34" i="22"/>
  <c r="E93" i="19"/>
  <c r="A68" i="24"/>
  <c r="N68" i="24" s="1"/>
  <c r="AQ34" i="24"/>
  <c r="O45" i="23"/>
  <c r="E46" i="24"/>
  <c r="E34" i="22"/>
  <c r="C33" i="23"/>
  <c r="C45" i="23" s="1"/>
  <c r="E12" i="25" s="1"/>
  <c r="Z32" i="23"/>
  <c r="O64" i="24"/>
  <c r="N63" i="24"/>
  <c r="N13" i="25" s="1"/>
  <c r="H45" i="23"/>
  <c r="L13" i="25"/>
  <c r="O59" i="14"/>
  <c r="N6" i="25"/>
  <c r="K86" i="20"/>
  <c r="O9" i="25"/>
  <c r="E40" i="21"/>
  <c r="C40" i="21"/>
  <c r="N40" i="21"/>
  <c r="G40" i="21"/>
  <c r="F78" i="15"/>
  <c r="I7" i="25"/>
  <c r="I8" i="25"/>
  <c r="O78" i="15"/>
  <c r="O7" i="25"/>
  <c r="M77" i="15"/>
  <c r="K7" i="25"/>
  <c r="K8" i="25"/>
  <c r="C32" i="14"/>
  <c r="G32" i="14" s="1"/>
  <c r="I13" i="25"/>
  <c r="F64" i="24"/>
  <c r="A59" i="21"/>
  <c r="F86" i="20"/>
  <c r="I9" i="25"/>
  <c r="O100" i="19"/>
  <c r="O8" i="25"/>
  <c r="D100" i="19"/>
  <c r="F8" i="25"/>
  <c r="M78" i="15"/>
  <c r="L8" i="25"/>
  <c r="L7" i="25"/>
  <c r="D77" i="15"/>
  <c r="E7" i="25"/>
  <c r="F77" i="15"/>
  <c r="H8" i="25"/>
  <c r="H7" i="25"/>
  <c r="F13" i="25"/>
  <c r="D64" i="24"/>
  <c r="F12" i="25"/>
  <c r="D46" i="23"/>
  <c r="N64" i="14"/>
  <c r="B8" i="25"/>
  <c r="D99" i="19"/>
  <c r="O99" i="19"/>
  <c r="M99" i="19"/>
  <c r="F99" i="19"/>
  <c r="A64" i="14"/>
  <c r="B19" i="25" s="1"/>
  <c r="D60" i="14"/>
  <c r="F60" i="14" s="1"/>
  <c r="F6" i="25"/>
  <c r="B68" i="24"/>
  <c r="C26" i="25" s="1"/>
  <c r="D68" i="24"/>
  <c r="D26" i="25" s="1"/>
  <c r="D78" i="15"/>
  <c r="F7" i="25"/>
  <c r="B13" i="25"/>
  <c r="F63" i="24"/>
  <c r="D63" i="24"/>
  <c r="C34" i="22"/>
  <c r="D41" i="24"/>
  <c r="Y27" i="23"/>
  <c r="A38" i="23" s="1"/>
  <c r="F55" i="21"/>
  <c r="D55" i="21"/>
  <c r="O55" i="21"/>
  <c r="B10" i="25"/>
  <c r="H55" i="21"/>
  <c r="O40" i="22"/>
  <c r="B11" i="25"/>
  <c r="D40" i="22"/>
  <c r="F40" i="22"/>
  <c r="H40" i="22"/>
  <c r="G63" i="24"/>
  <c r="K13" i="25" s="1"/>
  <c r="O77" i="15"/>
  <c r="N7" i="25"/>
  <c r="D59" i="14"/>
  <c r="F59" i="14" s="1"/>
  <c r="E6" i="25"/>
  <c r="C19" i="25"/>
  <c r="G19" i="25" s="1"/>
  <c r="G86" i="20"/>
  <c r="E67" i="20"/>
  <c r="C67" i="20"/>
  <c r="J67" i="20"/>
  <c r="G67" i="20"/>
  <c r="E79" i="20"/>
  <c r="C79" i="20"/>
  <c r="A91" i="20"/>
  <c r="B22" i="25" s="1"/>
  <c r="J79" i="20"/>
  <c r="G79" i="20"/>
  <c r="G85" i="20"/>
  <c r="H87" i="20"/>
  <c r="D87" i="20"/>
  <c r="K87" i="20"/>
  <c r="F87" i="20"/>
  <c r="K85" i="20"/>
  <c r="F85" i="20"/>
  <c r="D85" i="20"/>
  <c r="U36" i="24"/>
  <c r="X29" i="24"/>
  <c r="V33" i="24"/>
  <c r="X32" i="24"/>
  <c r="X18" i="22"/>
  <c r="X15" i="22"/>
  <c r="U22" i="22"/>
  <c r="U19" i="22"/>
  <c r="U39" i="21"/>
  <c r="X32" i="21"/>
  <c r="Q42" i="20"/>
  <c r="R39" i="20"/>
  <c r="Q38" i="20"/>
  <c r="U37" i="20"/>
  <c r="U34" i="20"/>
  <c r="T77" i="19"/>
  <c r="T81" i="19"/>
  <c r="X51" i="15"/>
  <c r="U33" i="14"/>
  <c r="T32" i="14"/>
  <c r="W31" i="14"/>
  <c r="T36" i="14"/>
  <c r="W26" i="14"/>
  <c r="H19" i="25" l="1"/>
  <c r="B26" i="25"/>
  <c r="A71" i="15"/>
  <c r="E71" i="15" s="1"/>
  <c r="N44" i="22"/>
  <c r="A104" i="19"/>
  <c r="B21" i="25" s="1"/>
  <c r="H21" i="25" s="1"/>
  <c r="C83" i="19"/>
  <c r="E44" i="22"/>
  <c r="G68" i="24"/>
  <c r="G83" i="19"/>
  <c r="N83" i="19"/>
  <c r="C61" i="15"/>
  <c r="C44" i="22"/>
  <c r="H22" i="25"/>
  <c r="D27" i="25"/>
  <c r="G26" i="25"/>
  <c r="H26" i="25" s="1"/>
  <c r="B24" i="25"/>
  <c r="H24" i="25" s="1"/>
  <c r="G61" i="15"/>
  <c r="N61" i="15"/>
  <c r="D45" i="23"/>
  <c r="C38" i="23"/>
  <c r="A50" i="23"/>
  <c r="N38" i="23"/>
  <c r="E38" i="23"/>
  <c r="G38" i="23"/>
  <c r="O63" i="24"/>
  <c r="D33" i="23"/>
  <c r="N71" i="15"/>
  <c r="H14" i="25"/>
  <c r="O14" i="25"/>
  <c r="E14" i="25"/>
  <c r="N14" i="25"/>
  <c r="I14" i="25"/>
  <c r="E68" i="24"/>
  <c r="H63" i="24"/>
  <c r="C27" i="25"/>
  <c r="E59" i="21"/>
  <c r="C59" i="21"/>
  <c r="B23" i="25"/>
  <c r="H23" i="25" s="1"/>
  <c r="N59" i="21"/>
  <c r="G59" i="21"/>
  <c r="H86" i="20"/>
  <c r="L9" i="25"/>
  <c r="L14" i="25" s="1"/>
  <c r="B14" i="25"/>
  <c r="C68" i="24"/>
  <c r="H85" i="20"/>
  <c r="K9" i="25"/>
  <c r="K14" i="25" s="1"/>
  <c r="C64" i="14"/>
  <c r="E64" i="14" s="1"/>
  <c r="G64" i="14" s="1"/>
  <c r="C91" i="20"/>
  <c r="E91" i="20"/>
  <c r="G91" i="20"/>
  <c r="J91" i="20"/>
  <c r="G71" i="15" l="1"/>
  <c r="C71" i="15"/>
  <c r="A82" i="15"/>
  <c r="N82" i="15" s="1"/>
  <c r="E104" i="19"/>
  <c r="N104" i="19"/>
  <c r="G104" i="19"/>
  <c r="C104" i="19"/>
  <c r="G27" i="25"/>
  <c r="E82" i="15"/>
  <c r="G50" i="23"/>
  <c r="B25" i="25"/>
  <c r="H25" i="25" s="1"/>
  <c r="C50" i="23"/>
  <c r="N50" i="23"/>
  <c r="E50" i="23"/>
  <c r="AZ172" i="5"/>
  <c r="BA172" i="5" s="1"/>
  <c r="AZ156" i="5"/>
  <c r="G82" i="15" l="1"/>
  <c r="B20" i="25"/>
  <c r="H20" i="25" s="1"/>
  <c r="C82" i="15"/>
  <c r="T186" i="5"/>
  <c r="Y186" i="5"/>
  <c r="B27" i="25" l="1"/>
  <c r="B30" i="25" s="1"/>
  <c r="H27" i="25"/>
  <c r="V186" i="5"/>
  <c r="U186" i="5"/>
  <c r="Z186" i="5"/>
  <c r="AT195" i="5" l="1"/>
  <c r="Z191" i="5"/>
  <c r="C40" i="20"/>
  <c r="D40" i="20" s="1"/>
  <c r="C86" i="20" l="1"/>
  <c r="D86" i="20" l="1"/>
  <c r="F9" i="25"/>
  <c r="F14"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Alberto Puerta Valderrama</author>
    <author>PLANEACION</author>
  </authors>
  <commentList>
    <comment ref="Y8" authorId="0" shapeId="0" xr:uid="{4BED95CB-9CCF-4177-B0DF-2548C732FA83}">
      <text>
        <r>
          <rPr>
            <sz val="9"/>
            <color rgb="FF000000"/>
            <rFont val="Tahoma"/>
            <family val="2"/>
          </rPr>
          <t xml:space="preserve">Yan Marcil
</t>
        </r>
        <r>
          <rPr>
            <sz val="9"/>
            <color rgb="FF000000"/>
            <rFont val="Tahoma"/>
            <family val="2"/>
          </rPr>
          <t xml:space="preserve">Ricardo Castrillon
</t>
        </r>
        <r>
          <rPr>
            <sz val="9"/>
            <color rgb="FF000000"/>
            <rFont val="Tahoma"/>
            <family val="2"/>
          </rPr>
          <t xml:space="preserve">Vanesa Alvarez
</t>
        </r>
        <r>
          <rPr>
            <sz val="9"/>
            <color rgb="FF000000"/>
            <rFont val="Tahoma"/>
            <family val="2"/>
          </rPr>
          <t xml:space="preserve">Hector Garro
</t>
        </r>
        <r>
          <rPr>
            <sz val="9"/>
            <color rgb="FF000000"/>
            <rFont val="Tahoma"/>
            <family val="2"/>
          </rPr>
          <t xml:space="preserve">Paula Salazar
</t>
        </r>
        <r>
          <rPr>
            <sz val="9"/>
            <color rgb="FF000000"/>
            <rFont val="Tahoma"/>
            <family val="2"/>
          </rPr>
          <t xml:space="preserve">Auren (Revisoria fiscal)
</t>
        </r>
        <r>
          <rPr>
            <sz val="9"/>
            <color rgb="FF000000"/>
            <rFont val="Tahoma"/>
            <family val="2"/>
          </rPr>
          <t>Mercadeo y contratacion</t>
        </r>
      </text>
    </comment>
    <comment ref="Y12" authorId="0" shapeId="0" xr:uid="{00E139A4-4B90-4268-8444-D69336625513}">
      <text>
        <r>
          <rPr>
            <sz val="9"/>
            <color rgb="FF000000"/>
            <rFont val="Tahoma"/>
            <family val="2"/>
          </rPr>
          <t xml:space="preserve">
</t>
        </r>
        <r>
          <rPr>
            <sz val="9"/>
            <color rgb="FF000000"/>
            <rFont val="Tahoma"/>
            <family val="2"/>
          </rPr>
          <t xml:space="preserve">Noralba Castaño
</t>
        </r>
        <r>
          <rPr>
            <sz val="9"/>
            <color rgb="FF000000"/>
            <rFont val="Tahoma"/>
            <family val="2"/>
          </rPr>
          <t xml:space="preserve">Natalia martinez
</t>
        </r>
        <r>
          <rPr>
            <sz val="9"/>
            <color rgb="FF000000"/>
            <rFont val="Tahoma"/>
            <family val="2"/>
          </rPr>
          <t xml:space="preserve">
</t>
        </r>
      </text>
    </comment>
    <comment ref="Y21" authorId="0" shapeId="0" xr:uid="{4784B2EB-F9E7-4EA8-AAE4-396DAE8959ED}">
      <text>
        <r>
          <rPr>
            <sz val="9"/>
            <color rgb="FF000000"/>
            <rFont val="Tahoma"/>
            <family val="2"/>
          </rPr>
          <t xml:space="preserve">Victor Puerta
</t>
        </r>
        <r>
          <rPr>
            <sz val="9"/>
            <color rgb="FF000000"/>
            <rFont val="Tahoma"/>
            <family val="2"/>
          </rPr>
          <t xml:space="preserve">Angela Guerra
</t>
        </r>
        <r>
          <rPr>
            <sz val="9"/>
            <color rgb="FF000000"/>
            <rFont val="Tahoma"/>
            <family val="2"/>
          </rPr>
          <t xml:space="preserve">Saray 
</t>
        </r>
        <r>
          <rPr>
            <sz val="9"/>
            <color rgb="FF000000"/>
            <rFont val="Tahoma"/>
            <family val="2"/>
          </rPr>
          <t xml:space="preserve">lider cartera
</t>
        </r>
        <r>
          <rPr>
            <sz val="9"/>
            <color rgb="FF000000"/>
            <rFont val="Tahoma"/>
            <family val="2"/>
          </rPr>
          <t xml:space="preserve">Alex florez
</t>
        </r>
        <r>
          <rPr>
            <sz val="9"/>
            <color rgb="FF000000"/>
            <rFont val="Tahoma"/>
            <family val="2"/>
          </rPr>
          <t xml:space="preserve">Elkin Marin
</t>
        </r>
        <r>
          <rPr>
            <sz val="9"/>
            <color rgb="FF000000"/>
            <rFont val="Tahoma"/>
            <family val="2"/>
          </rPr>
          <t xml:space="preserve">Sigma
</t>
        </r>
        <r>
          <rPr>
            <sz val="9"/>
            <color rgb="FF000000"/>
            <rFont val="Tahoma"/>
            <family val="2"/>
          </rPr>
          <t xml:space="preserve">Aseosoria e inversiones
</t>
        </r>
        <r>
          <rPr>
            <sz val="9"/>
            <color rgb="FF000000"/>
            <rFont val="Tahoma"/>
            <family val="2"/>
          </rPr>
          <t xml:space="preserve">Alex arias 
</t>
        </r>
        <r>
          <rPr>
            <sz val="9"/>
            <color rgb="FF000000"/>
            <rFont val="Tahoma"/>
            <family val="2"/>
          </rPr>
          <t xml:space="preserve">Mario Puerta
</t>
        </r>
        <r>
          <rPr>
            <sz val="9"/>
            <color rgb="FF000000"/>
            <rFont val="Tahoma"/>
            <family val="2"/>
          </rPr>
          <t xml:space="preserve">Paula Parra
</t>
        </r>
        <r>
          <rPr>
            <sz val="9"/>
            <color rgb="FF000000"/>
            <rFont val="Tahoma"/>
            <family val="2"/>
          </rPr>
          <t xml:space="preserve">Andra Palacios
</t>
        </r>
        <r>
          <rPr>
            <sz val="9"/>
            <color rgb="FF000000"/>
            <rFont val="Tahoma"/>
            <family val="2"/>
          </rPr>
          <t xml:space="preserve">Pablo Tesorero
</t>
        </r>
        <r>
          <rPr>
            <sz val="9"/>
            <color rgb="FF000000"/>
            <rFont val="Tahoma"/>
            <family val="2"/>
          </rPr>
          <t xml:space="preserve">Laeined
</t>
        </r>
        <r>
          <rPr>
            <sz val="9"/>
            <color rgb="FF000000"/>
            <rFont val="Tahoma"/>
            <family val="2"/>
          </rPr>
          <t xml:space="preserve">Leocaris
</t>
        </r>
        <r>
          <rPr>
            <sz val="9"/>
            <color rgb="FF000000"/>
            <rFont val="Tahoma"/>
            <family val="2"/>
          </rPr>
          <t xml:space="preserve">Ana Gregoria
</t>
        </r>
        <r>
          <rPr>
            <sz val="9"/>
            <color rgb="FF000000"/>
            <rFont val="Tahoma"/>
            <family val="2"/>
          </rPr>
          <t xml:space="preserve">Sandra chica
</t>
        </r>
        <r>
          <rPr>
            <sz val="9"/>
            <color rgb="FF000000"/>
            <rFont val="Tahoma"/>
            <family val="2"/>
          </rPr>
          <t xml:space="preserve">Ana isabel
</t>
        </r>
        <r>
          <rPr>
            <sz val="9"/>
            <color rgb="FF000000"/>
            <rFont val="Tahoma"/>
            <family val="2"/>
          </rPr>
          <t xml:space="preserve">Maria Elena
</t>
        </r>
        <r>
          <rPr>
            <sz val="9"/>
            <color rgb="FF000000"/>
            <rFont val="Tahoma"/>
            <family val="2"/>
          </rPr>
          <t>Famy Financiera</t>
        </r>
      </text>
    </comment>
    <comment ref="J33" authorId="1" shapeId="0" xr:uid="{70AA310D-798C-4AEC-B1ED-27401ADE3FE2}">
      <text>
        <r>
          <rPr>
            <b/>
            <sz val="9"/>
            <color indexed="81"/>
            <rFont val="Tahoma"/>
            <family val="2"/>
          </rPr>
          <t>ESTE INDICADOR ES LA COORDINACIÓN MEDICA.</t>
        </r>
        <r>
          <rPr>
            <sz val="9"/>
            <color indexed="81"/>
            <rFont val="Tahoma"/>
            <family val="2"/>
          </rPr>
          <t xml:space="preserve">
</t>
        </r>
      </text>
    </comment>
    <comment ref="Y40" authorId="0" shapeId="0" xr:uid="{D7E6F7AE-9902-4768-A50A-EEB07D1CF8ED}">
      <text>
        <r>
          <rPr>
            <sz val="9"/>
            <color rgb="FF000000"/>
            <rFont val="Tahoma"/>
            <family val="2"/>
          </rPr>
          <t xml:space="preserve">mantenimientos
</t>
        </r>
        <r>
          <rPr>
            <sz val="9"/>
            <color rgb="FF000000"/>
            <rFont val="Tahoma"/>
            <family val="2"/>
          </rPr>
          <t xml:space="preserve">vigilancia
</t>
        </r>
        <r>
          <rPr>
            <sz val="9"/>
            <color rgb="FF000000"/>
            <rFont val="Tahoma"/>
            <family val="2"/>
          </rPr>
          <t xml:space="preserve">alimentacion
</t>
        </r>
        <r>
          <rPr>
            <sz val="9"/>
            <color rgb="FF000000"/>
            <rFont val="Tahoma"/>
            <family val="2"/>
          </rPr>
          <t xml:space="preserve">aseo
</t>
        </r>
        <r>
          <rPr>
            <sz val="9"/>
            <color rgb="FF000000"/>
            <rFont val="Tahoma"/>
            <family val="2"/>
          </rPr>
          <t xml:space="preserve">famy
</t>
        </r>
        <r>
          <rPr>
            <sz val="9"/>
            <color rgb="FF000000"/>
            <rFont val="Tahoma"/>
            <family val="2"/>
          </rPr>
          <t xml:space="preserve">planta
</t>
        </r>
        <r>
          <rPr>
            <sz val="9"/>
            <color rgb="FF000000"/>
            <rFont val="Tahoma"/>
            <family val="2"/>
          </rPr>
          <t xml:space="preserve">ops
</t>
        </r>
        <r>
          <rPr>
            <sz val="9"/>
            <color rgb="FF000000"/>
            <rFont val="Tahoma"/>
            <family val="2"/>
          </rPr>
          <t xml:space="preserve">farmacia
</t>
        </r>
      </text>
    </comment>
    <comment ref="AC94" authorId="1" shapeId="0" xr:uid="{7214A7A6-1C57-4093-B4BD-75AF2741079F}">
      <text>
        <r>
          <rPr>
            <b/>
            <sz val="9"/>
            <color indexed="81"/>
            <rFont val="Tahoma"/>
            <family val="2"/>
          </rPr>
          <t>PLANEACION:</t>
        </r>
        <r>
          <rPr>
            <sz val="9"/>
            <color indexed="81"/>
            <rFont val="Tahoma"/>
            <family val="2"/>
          </rPr>
          <t xml:space="preserve">
SE SACARON DE 1550 SE LE DEDUGERON  308 YA QUE EL POAI QUEDABA VOLADO EN SU CUMPLIMIENTO MAS 99 DEL PRIMER TRIMESTRE</t>
        </r>
      </text>
    </comment>
    <comment ref="AC95" authorId="1" shapeId="0" xr:uid="{CEEB4799-F5F6-448C-B45A-F346DC51E2D2}">
      <text>
        <r>
          <rPr>
            <b/>
            <sz val="9"/>
            <color indexed="81"/>
            <rFont val="Tahoma"/>
            <family val="2"/>
          </rPr>
          <t>PLANEACION:</t>
        </r>
        <r>
          <rPr>
            <sz val="9"/>
            <color indexed="81"/>
            <rFont val="Tahoma"/>
            <family val="2"/>
          </rPr>
          <t xml:space="preserve">
12 DEL PRIMER TRIMESTRE</t>
        </r>
      </text>
    </comment>
    <comment ref="AC96" authorId="1" shapeId="0" xr:uid="{B14068A7-630A-4FC1-AD95-8C24071189CD}">
      <text>
        <r>
          <rPr>
            <b/>
            <sz val="9"/>
            <color indexed="81"/>
            <rFont val="Tahoma"/>
            <family val="2"/>
          </rPr>
          <t>PLANEACION:</t>
        </r>
        <r>
          <rPr>
            <sz val="9"/>
            <color indexed="81"/>
            <rFont val="Tahoma"/>
            <family val="2"/>
          </rPr>
          <t xml:space="preserve">
ERAN 1820 PERO DE SACARON PARA EL CUMPLIMIENTO NO ESTUVIERA POR ENCIAMA DE LA REALIDAD.MAS 82 DEL PRIMER TRIMESTRE </t>
        </r>
      </text>
    </comment>
    <comment ref="AC97" authorId="1" shapeId="0" xr:uid="{720C90B3-74D7-49AF-89A8-FDCB08B7AA7B}">
      <text>
        <r>
          <rPr>
            <b/>
            <sz val="9"/>
            <color indexed="81"/>
            <rFont val="Tahoma"/>
            <family val="2"/>
          </rPr>
          <t>PLANEACION:</t>
        </r>
        <r>
          <rPr>
            <sz val="9"/>
            <color indexed="81"/>
            <rFont val="Tahoma"/>
            <family val="2"/>
          </rPr>
          <t xml:space="preserve">
32 DEL PRIMER TRIMESTRE TODO SE EQUILIBRA PARA QUE DEN DATOS MAS AJUSTADOS A LA REALIDAD.</t>
        </r>
      </text>
    </comment>
    <comment ref="Y172" authorId="0" shapeId="0" xr:uid="{871A43A4-D4BB-4524-91F7-C9517F24128E}">
      <text>
        <r>
          <rPr>
            <sz val="9"/>
            <color rgb="FF000000"/>
            <rFont val="Tahoma"/>
            <family val="2"/>
          </rPr>
          <t xml:space="preserve">cuotas partes
</t>
        </r>
        <r>
          <rPr>
            <sz val="9"/>
            <color rgb="FF000000"/>
            <rFont val="Tahoma"/>
            <family val="2"/>
          </rPr>
          <t xml:space="preserve">lázaro
</t>
        </r>
        <r>
          <rPr>
            <sz val="9"/>
            <color rgb="FF000000"/>
            <rFont val="Tahoma"/>
            <family val="2"/>
          </rPr>
          <t xml:space="preserve">juan esteban
</t>
        </r>
        <r>
          <rPr>
            <sz val="9"/>
            <color rgb="FF000000"/>
            <rFont val="Tahoma"/>
            <family val="2"/>
          </rPr>
          <t xml:space="preserve">José David
</t>
        </r>
        <r>
          <rPr>
            <sz val="9"/>
            <color rgb="FF000000"/>
            <rFont val="Tahoma"/>
            <family val="2"/>
          </rPr>
          <t xml:space="preserve">Lucy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PLANEACION</author>
  </authors>
  <commentList>
    <comment ref="B14" authorId="0" shapeId="0" xr:uid="{A6D78423-A75C-43FB-B71B-78F4BB348002}">
      <text>
        <r>
          <rPr>
            <b/>
            <sz val="9"/>
            <color indexed="81"/>
            <rFont val="Tahoma"/>
            <family val="2"/>
          </rPr>
          <t>PLANEACION:</t>
        </r>
        <r>
          <rPr>
            <sz val="9"/>
            <color indexed="81"/>
            <rFont val="Tahoma"/>
            <family val="2"/>
          </rPr>
          <t xml:space="preserve">
se sube a 82 la sumatoria porque en cada trimestre que se coje el porcentaje y se suma como uno pero el cumplimiento se da sobre los 58 actividades.</t>
        </r>
      </text>
    </comment>
    <comment ref="AO14" authorId="0" shapeId="0" xr:uid="{B4DC900C-1CAF-4556-BCE4-37D1A81071C4}">
      <text>
        <r>
          <rPr>
            <b/>
            <sz val="9"/>
            <color indexed="81"/>
            <rFont val="Tahoma"/>
            <family val="2"/>
          </rPr>
          <t>PLANEACION:</t>
        </r>
        <r>
          <rPr>
            <sz val="9"/>
            <color indexed="81"/>
            <rFont val="Tahoma"/>
            <family val="2"/>
          </rPr>
          <t xml:space="preserve">
se sube a 82 la sumatoria porque en cada trimestre que se coje el porcentaje y se suma como uno pero el cumplimiento se da sobre los 58 actividades.</t>
        </r>
      </text>
    </comment>
    <comment ref="B17" authorId="0" shapeId="0" xr:uid="{01F4A898-4AE7-4468-9DBF-B2287C4DB783}">
      <text>
        <r>
          <rPr>
            <b/>
            <sz val="9"/>
            <color indexed="81"/>
            <rFont val="Tahoma"/>
            <family val="2"/>
          </rPr>
          <t>PLANEACION:</t>
        </r>
        <r>
          <rPr>
            <sz val="9"/>
            <color indexed="81"/>
            <rFont val="Tahoma"/>
            <family val="2"/>
          </rPr>
          <t xml:space="preserve">
se sube a 11.382la sumatoria porque en cada trimestre que se coje el porcentaje y se suma como uno pero el cumplimiento se da sobre los 11,328 actividades.</t>
        </r>
      </text>
    </comment>
    <comment ref="AO17" authorId="0" shapeId="0" xr:uid="{BCC3395A-6460-48E6-A6E6-20F704B8DF39}">
      <text>
        <r>
          <rPr>
            <b/>
            <sz val="9"/>
            <color indexed="81"/>
            <rFont val="Tahoma"/>
            <family val="2"/>
          </rPr>
          <t>PLANEACION:</t>
        </r>
        <r>
          <rPr>
            <sz val="9"/>
            <color indexed="81"/>
            <rFont val="Tahoma"/>
            <family val="2"/>
          </rPr>
          <t xml:space="preserve">
se sube a 11.382la sumatoria porque en cada trimestre que se coje el porcentaje y se suma como uno pero el cumplimiento se da sobre los 11,328 actividades.</t>
        </r>
      </text>
    </comment>
    <comment ref="B18" authorId="0" shapeId="0" xr:uid="{1F29A340-213D-44D8-B4E2-28893384E389}">
      <text>
        <r>
          <rPr>
            <b/>
            <sz val="9"/>
            <color indexed="81"/>
            <rFont val="Tahoma"/>
            <family val="2"/>
          </rPr>
          <t>PLANEACION:</t>
        </r>
        <r>
          <rPr>
            <sz val="9"/>
            <color indexed="81"/>
            <rFont val="Tahoma"/>
            <family val="2"/>
          </rPr>
          <t xml:space="preserve">
se sube a 24 la sumatoria porque en cada trimestre que se coje el porcentaje y se suma como uno pero el cumplimiento se da sobre los 12 actividades.</t>
        </r>
      </text>
    </comment>
    <comment ref="AO18" authorId="0" shapeId="0" xr:uid="{94186D93-310A-43E7-B76A-ACE2F9C52277}">
      <text>
        <r>
          <rPr>
            <b/>
            <sz val="9"/>
            <color indexed="81"/>
            <rFont val="Tahoma"/>
            <family val="2"/>
          </rPr>
          <t>PLANEACION:</t>
        </r>
        <r>
          <rPr>
            <sz val="9"/>
            <color indexed="81"/>
            <rFont val="Tahoma"/>
            <family val="2"/>
          </rPr>
          <t xml:space="preserve">
se sube a 24 la sumatoria porque en cada trimestre que se coje el porcentaje y se suma como uno pero el cumplimiento se da sobre los 12 actividades.</t>
        </r>
      </text>
    </comment>
    <comment ref="B24" authorId="0" shapeId="0" xr:uid="{8F20A6C8-6620-4967-94C7-58D5F2C78D20}">
      <text>
        <r>
          <rPr>
            <b/>
            <sz val="9"/>
            <color indexed="81"/>
            <rFont val="Tahoma"/>
            <family val="2"/>
          </rPr>
          <t>PLANEACION:</t>
        </r>
        <r>
          <rPr>
            <sz val="9"/>
            <color indexed="81"/>
            <rFont val="Tahoma"/>
            <family val="2"/>
          </rPr>
          <t xml:space="preserve">
4 SON PORCETAJE QUE SE TOMARON COMO 1
se sube a 13 la sumatoria porque en cada trimestre que se coje el porcentaje y se suma como uno pero el cumplimiento se da sobre los 6 actividades.</t>
        </r>
      </text>
    </comment>
    <comment ref="AO24" authorId="0" shapeId="0" xr:uid="{49BDEBD5-E5CE-4CF9-96CB-B63A51C23BA3}">
      <text>
        <r>
          <rPr>
            <b/>
            <sz val="9"/>
            <color indexed="81"/>
            <rFont val="Tahoma"/>
            <family val="2"/>
          </rPr>
          <t>PLANEACION:</t>
        </r>
        <r>
          <rPr>
            <sz val="9"/>
            <color indexed="81"/>
            <rFont val="Tahoma"/>
            <family val="2"/>
          </rPr>
          <t xml:space="preserve">
4 SON PORCETAJE QUE SE TOMARON COMO 1
se sube a 13 la sumatoria porque en cada trimestre que se coje el porcentaje y se suma como uno pero el cumplimiento se da sobre los 6 actividades.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PLANEACION</author>
  </authors>
  <commentList>
    <comment ref="B13" authorId="0" shapeId="0" xr:uid="{2A64BB74-CB83-4652-B50A-8C80EE681A23}">
      <text>
        <r>
          <rPr>
            <b/>
            <sz val="9"/>
            <color indexed="81"/>
            <rFont val="Tahoma"/>
            <charset val="1"/>
          </rPr>
          <t>PLANEACION:</t>
        </r>
        <r>
          <rPr>
            <sz val="9"/>
            <color indexed="81"/>
            <rFont val="Tahoma"/>
            <charset val="1"/>
          </rPr>
          <t xml:space="preserve">
se sube a 82 la sumatoria porque en cada trimestre que se coje el porcentaje y se suma como uno pero el cumplimiento se da sobre los 58 actividades.</t>
        </r>
      </text>
    </comment>
    <comment ref="B16" authorId="0" shapeId="0" xr:uid="{D8664A12-7AF7-4FF6-A44C-5A76D331323A}">
      <text>
        <r>
          <rPr>
            <b/>
            <sz val="9"/>
            <color indexed="81"/>
            <rFont val="Tahoma"/>
            <charset val="1"/>
          </rPr>
          <t>PLANEACION:</t>
        </r>
        <r>
          <rPr>
            <sz val="9"/>
            <color indexed="81"/>
            <rFont val="Tahoma"/>
            <charset val="1"/>
          </rPr>
          <t xml:space="preserve">
se sube a 11.382la sumatoria porque en cada trimestre que se coje el porcentaje y se suma como uno pero el cumplimiento se da sobre los 11,328 actividades.</t>
        </r>
      </text>
    </comment>
    <comment ref="B17" authorId="0" shapeId="0" xr:uid="{50F45C84-0903-4767-A3F3-A286A6CB99EE}">
      <text>
        <r>
          <rPr>
            <b/>
            <sz val="9"/>
            <color indexed="81"/>
            <rFont val="Tahoma"/>
            <charset val="1"/>
          </rPr>
          <t>PLANEACION:</t>
        </r>
        <r>
          <rPr>
            <sz val="9"/>
            <color indexed="81"/>
            <rFont val="Tahoma"/>
            <charset val="1"/>
          </rPr>
          <t xml:space="preserve">
se sube a 24 la sumatoria porque en cada trimestre que se coje el porcentaje y se suma como uno pero el cumplimiento se da sobre los 12 actividades.</t>
        </r>
      </text>
    </comment>
    <comment ref="B23" authorId="0" shapeId="0" xr:uid="{2555BD38-EAC9-4231-80E2-25FC05C3BA87}">
      <text>
        <r>
          <rPr>
            <b/>
            <sz val="9"/>
            <color indexed="81"/>
            <rFont val="Tahoma"/>
            <family val="2"/>
          </rPr>
          <t>PLANEACION:</t>
        </r>
        <r>
          <rPr>
            <sz val="9"/>
            <color indexed="81"/>
            <rFont val="Tahoma"/>
            <family val="2"/>
          </rPr>
          <t xml:space="preserve">
4 SON PORCETAJE QUE SE TOMARON COMO 1
se sube a 13 la sumatoria porque en cada trimestre que se coje el porcentaje y se suma como uno pero el cumplimiento se da sobre los 6 actividades.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PLANEACION</author>
    <author>RAMON ANTONIO LEMA HUTADO</author>
    <author>Mario Alberto Puerta Valderrama</author>
  </authors>
  <commentList>
    <comment ref="P19" authorId="0" shapeId="0" xr:uid="{F90EA6EC-930C-466B-90D7-947DB976C1C9}">
      <text>
        <r>
          <rPr>
            <b/>
            <sz val="9"/>
            <color indexed="81"/>
            <rFont val="Tahoma"/>
            <family val="2"/>
          </rPr>
          <t>PLANEACION:2LL 25 % SE TRADUCE EN EL 100% DE CUMPLIMIENTO DE CADA TRIMESTRE</t>
        </r>
      </text>
    </comment>
    <comment ref="P22" authorId="0" shapeId="0" xr:uid="{DE3D0117-EFAC-4011-80C3-76676854F675}">
      <text>
        <r>
          <rPr>
            <b/>
            <sz val="9"/>
            <color indexed="81"/>
            <rFont val="Tahoma"/>
            <family val="2"/>
          </rPr>
          <t>PLANEACION:2LL 25 % SE TRADUCE EN EL 100% DE CUMPLIMIENTO DE CADA TRIMESTRE</t>
        </r>
      </text>
    </comment>
    <comment ref="P23" authorId="0" shapeId="0" xr:uid="{4A793574-C1EC-4313-8FDD-34636917D45D}">
      <text>
        <r>
          <rPr>
            <b/>
            <sz val="9"/>
            <color indexed="81"/>
            <rFont val="Tahoma"/>
            <family val="2"/>
          </rPr>
          <t>PLANEACION:2LL 25 % SE TRADUCE EN EL 100% DE CUMPLIMIENTO DE CADA TRIMESTRE</t>
        </r>
      </text>
    </comment>
    <comment ref="P24" authorId="0" shapeId="0" xr:uid="{1635FF81-961D-488A-8C9B-19418AA170BF}">
      <text>
        <r>
          <rPr>
            <b/>
            <sz val="9"/>
            <color indexed="81"/>
            <rFont val="Tahoma"/>
            <family val="2"/>
          </rPr>
          <t>PLANEACION:2LL 25 % SE TRADUCE EN EL 100% DE CUMPLIMIENTO DE CADA TRIMESTRE</t>
        </r>
      </text>
    </comment>
    <comment ref="P25" authorId="0" shapeId="0" xr:uid="{64C52697-3C3A-4171-A858-3DA5A335F3F3}">
      <text>
        <r>
          <rPr>
            <b/>
            <sz val="9"/>
            <color indexed="81"/>
            <rFont val="Tahoma"/>
            <family val="2"/>
          </rPr>
          <t>PLANEACION:2LL 25 % SE TRADUCE EN EL 100% DE CUMPLIMIENTO DE CADA TRIMESTRE</t>
        </r>
      </text>
    </comment>
    <comment ref="P31" authorId="1" shapeId="0" xr:uid="{7F352229-0E7E-4CCD-B79E-CA90E3FD2440}">
      <text>
        <r>
          <rPr>
            <b/>
            <sz val="9"/>
            <color indexed="81"/>
            <rFont val="Tahoma"/>
            <family val="2"/>
          </rPr>
          <t>RAMON ANTONIO LEMA HUTADO:</t>
        </r>
        <r>
          <rPr>
            <sz val="9"/>
            <color indexed="81"/>
            <rFont val="Tahoma"/>
            <family val="2"/>
          </rPr>
          <t xml:space="preserve">
este 25 es el 100% de cada trimestre.</t>
        </r>
      </text>
    </comment>
    <comment ref="P32" authorId="1" shapeId="0" xr:uid="{401E32EF-3F94-4806-B6AD-CA2902703223}">
      <text>
        <r>
          <rPr>
            <b/>
            <sz val="9"/>
            <color indexed="81"/>
            <rFont val="Tahoma"/>
            <family val="2"/>
          </rPr>
          <t>RAMON ANTONIO LEMA HUTADO:</t>
        </r>
        <r>
          <rPr>
            <sz val="9"/>
            <color indexed="81"/>
            <rFont val="Tahoma"/>
            <family val="2"/>
          </rPr>
          <t xml:space="preserve">
este 25 es el 100% de cada trimestre.</t>
        </r>
      </text>
    </comment>
    <comment ref="P33" authorId="1" shapeId="0" xr:uid="{37721357-5A2E-46D4-841E-0E17D372BD1E}">
      <text>
        <r>
          <rPr>
            <b/>
            <sz val="9"/>
            <color indexed="81"/>
            <rFont val="Tahoma"/>
            <family val="2"/>
          </rPr>
          <t>RAMON ANTONIO LEMA HUTADO:</t>
        </r>
        <r>
          <rPr>
            <sz val="9"/>
            <color indexed="81"/>
            <rFont val="Tahoma"/>
            <family val="2"/>
          </rPr>
          <t xml:space="preserve">
este 25 es el 100% de cada trimestre.</t>
        </r>
      </text>
    </comment>
    <comment ref="P34" authorId="1" shapeId="0" xr:uid="{D6BEB29D-9A85-43A8-809A-25BEB2C5FBAA}">
      <text>
        <r>
          <rPr>
            <b/>
            <sz val="9"/>
            <color indexed="81"/>
            <rFont val="Tahoma"/>
            <family val="2"/>
          </rPr>
          <t>RAMON ANTONIO LEMA HUTADO:</t>
        </r>
        <r>
          <rPr>
            <sz val="9"/>
            <color indexed="81"/>
            <rFont val="Tahoma"/>
            <family val="2"/>
          </rPr>
          <t xml:space="preserve">
este 25 es el 100% de cada trimestre.</t>
        </r>
      </text>
    </comment>
    <comment ref="P44" authorId="1" shapeId="0" xr:uid="{267D1FF8-457C-4F33-AD7B-EB446681357D}">
      <text>
        <r>
          <rPr>
            <b/>
            <sz val="9"/>
            <color indexed="81"/>
            <rFont val="Tahoma"/>
            <family val="2"/>
          </rPr>
          <t>RAMON ANTONIO LEMA HUTADO:</t>
        </r>
        <r>
          <rPr>
            <sz val="9"/>
            <color indexed="81"/>
            <rFont val="Tahoma"/>
            <family val="2"/>
          </rPr>
          <t xml:space="preserve">
este 25 es el 100% de los informes establecidos para el trimestre</t>
        </r>
      </text>
    </comment>
    <comment ref="P45" authorId="1" shapeId="0" xr:uid="{86152421-13FD-4545-9F29-EECF57C3A656}">
      <text>
        <r>
          <rPr>
            <b/>
            <sz val="9"/>
            <color indexed="81"/>
            <rFont val="Tahoma"/>
            <family val="2"/>
          </rPr>
          <t>RAMON ANTONIO LEMA HUTADO:</t>
        </r>
        <r>
          <rPr>
            <sz val="9"/>
            <color indexed="81"/>
            <rFont val="Tahoma"/>
            <family val="2"/>
          </rPr>
          <t xml:space="preserve">
este 25 es el 100% de los informes establecidos para el trimestre</t>
        </r>
      </text>
    </comment>
    <comment ref="X46" authorId="2" shapeId="0" xr:uid="{AAED8238-6C52-4DD6-898C-4EE23040422C}">
      <text>
        <r>
          <rPr>
            <b/>
            <sz val="9"/>
            <color indexed="81"/>
            <rFont val="Tahoma"/>
            <family val="2"/>
          </rPr>
          <t>Mario Alberto Puerta Valderrama:</t>
        </r>
        <r>
          <rPr>
            <sz val="9"/>
            <color indexed="81"/>
            <rFont val="Tahoma"/>
            <family val="2"/>
          </rPr>
          <t xml:space="preserve">
FLANKLIN, 
JUAN DAVID LONDOÑO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Mario Alberto Puerta Valderrama</author>
  </authors>
  <commentList>
    <comment ref="V12" authorId="0" shapeId="0" xr:uid="{04882050-BF8D-4220-AEE1-710613EFDA95}">
      <text>
        <r>
          <rPr>
            <b/>
            <sz val="14"/>
            <color indexed="81"/>
            <rFont val="Tahoma"/>
            <family val="2"/>
          </rPr>
          <t>Mario Alberto Puerta Valderrama:1020200-1</t>
        </r>
        <r>
          <rPr>
            <b/>
            <sz val="9"/>
            <color indexed="81"/>
            <rFont val="Tahoma"/>
            <family val="2"/>
          </rPr>
          <t xml:space="preserve">
</t>
        </r>
      </text>
    </comment>
    <comment ref="V32" authorId="0" shapeId="0" xr:uid="{02D52805-2E66-40E8-859E-FBAC120A451F}">
      <text>
        <r>
          <rPr>
            <b/>
            <sz val="14"/>
            <color indexed="81"/>
            <rFont val="Tahoma"/>
            <family val="2"/>
          </rPr>
          <t>Mario Alberto Puerta Valderrama:</t>
        </r>
        <r>
          <rPr>
            <sz val="14"/>
            <color indexed="81"/>
            <rFont val="Tahoma"/>
            <family val="2"/>
          </rPr>
          <t xml:space="preserve">
1020200-4
</t>
        </r>
      </text>
    </comment>
    <comment ref="G52" authorId="0" shapeId="0" xr:uid="{B3FCAE91-9368-4F2F-852D-CA0370452B29}">
      <text>
        <r>
          <rPr>
            <b/>
            <sz val="9"/>
            <color indexed="81"/>
            <rFont val="Tahoma"/>
            <family val="2"/>
          </rPr>
          <t>Mario Alberto Puerta Valderrama:
ENTERRITORIO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Mario Alberto Puerta Valderrama</author>
  </authors>
  <commentList>
    <comment ref="S27" authorId="0" shapeId="0" xr:uid="{99B761DF-A8BB-4692-9CD2-768B5A146696}">
      <text>
        <r>
          <rPr>
            <b/>
            <sz val="9"/>
            <color indexed="81"/>
            <rFont val="Tahoma"/>
            <family val="2"/>
          </rPr>
          <t>Mario Alberto Puerta Valderrama:</t>
        </r>
        <r>
          <rPr>
            <sz val="9"/>
            <color indexed="81"/>
            <rFont val="Tahoma"/>
            <family val="2"/>
          </rPr>
          <t xml:space="preserve">
</t>
        </r>
        <r>
          <rPr>
            <sz val="16"/>
            <color indexed="81"/>
            <rFont val="Tahoma"/>
            <family val="2"/>
          </rPr>
          <t>DINAMICA</t>
        </r>
      </text>
    </comment>
    <comment ref="S29" authorId="0" shapeId="0" xr:uid="{F6B991B0-A412-4275-B328-6542F385EE83}">
      <text>
        <r>
          <rPr>
            <b/>
            <sz val="9"/>
            <color indexed="81"/>
            <rFont val="Tahoma"/>
            <family val="2"/>
          </rPr>
          <t>Mario Alberto Puerta Valderrama:</t>
        </r>
        <r>
          <rPr>
            <sz val="9"/>
            <color indexed="81"/>
            <rFont val="Tahoma"/>
            <family val="2"/>
          </rPr>
          <t xml:space="preserve">
</t>
        </r>
        <r>
          <rPr>
            <sz val="16"/>
            <color indexed="81"/>
            <rFont val="Tahoma"/>
            <family val="2"/>
          </rPr>
          <t>ADVISING</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5578556-7880-4DF4-B561-79052D8DBF6A}" sourceFile="C:\Users\PLANEACION\Desktop\PLANEACION\PLANEACIÓN 2021\POAI 2021\SEGUIMIENTO POAI 2021\SEGUIMIENTO POAI ESE HOSPITAL LA MARÍA 2021juan-  (1).xlsx" keepAlive="1" name="SEGUIMIENTO POAI ESE HOSPITAL LA MARÍA 2021juan-  (1)" type="5" refreshedVersion="7" background="1">
    <dbPr connection="Provider=Microsoft.ACE.OLEDB.12.0;User ID=Admin;Data Source=C:\Users\PLANEACION\Desktop\PLANEACION\PLANEACIÓN 2021\POAI 2021\SEGUIMIENTO POAI 2021\SEGUIMIENTO POAI ESE HOSPITAL LA MARÍA 2021juan-  (1).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RESUMEN LINEAS-POAI$'" commandType="3"/>
  </connection>
</connections>
</file>

<file path=xl/sharedStrings.xml><?xml version="1.0" encoding="utf-8"?>
<sst xmlns="http://schemas.openxmlformats.org/spreadsheetml/2006/main" count="5311" uniqueCount="1213">
  <si>
    <t>ESE HOSPITAL LA MARIA</t>
  </si>
  <si>
    <t xml:space="preserve">Descripción de la Actividad </t>
  </si>
  <si>
    <t>Unidad de Medida</t>
  </si>
  <si>
    <t>Trimestre 1</t>
  </si>
  <si>
    <t>Trimestre 2</t>
  </si>
  <si>
    <t>Trimestre 3</t>
  </si>
  <si>
    <t>Trimestre 4</t>
  </si>
  <si>
    <t>RECURSOS</t>
  </si>
  <si>
    <t>Área Responsable</t>
  </si>
  <si>
    <t>Responsable</t>
  </si>
  <si>
    <t>Proyecto</t>
  </si>
  <si>
    <t>Nombre del Indicador</t>
  </si>
  <si>
    <t>Línea de Base</t>
  </si>
  <si>
    <t>Rubro Presupuestal</t>
  </si>
  <si>
    <t>Fuente</t>
  </si>
  <si>
    <t>Recursos Asignados</t>
  </si>
  <si>
    <t>Total</t>
  </si>
  <si>
    <t>Numero</t>
  </si>
  <si>
    <t>Porcentaje</t>
  </si>
  <si>
    <t>numero</t>
  </si>
  <si>
    <t>1010200-4</t>
  </si>
  <si>
    <t>CALIDAD</t>
  </si>
  <si>
    <t>FINANCIERA</t>
  </si>
  <si>
    <t>1010200-1</t>
  </si>
  <si>
    <t>SUBGERENCIA</t>
  </si>
  <si>
    <t>GERENCIA</t>
  </si>
  <si>
    <t>8002100-7</t>
  </si>
  <si>
    <t>2010100-1</t>
  </si>
  <si>
    <t>PLANEACIÓN</t>
  </si>
  <si>
    <t>&gt;</t>
  </si>
  <si>
    <t>Alerta</t>
  </si>
  <si>
    <t>Atención</t>
  </si>
  <si>
    <t>Normal</t>
  </si>
  <si>
    <t>Superior</t>
  </si>
  <si>
    <t>CRITERIOS DE EVALUACIÓN DE CUMPLIMIENTO EJECUCIÓN FÍSICA  Y FINANCIERA DEL POAI</t>
  </si>
  <si>
    <t>&lt; 25%</t>
  </si>
  <si>
    <t>26%- 5O%</t>
  </si>
  <si>
    <t>51% - 75%</t>
  </si>
  <si>
    <t>76% - 100%</t>
  </si>
  <si>
    <t>Criticó</t>
  </si>
  <si>
    <t>Linea  Estratégica</t>
  </si>
  <si>
    <t>Programa</t>
  </si>
  <si>
    <t>Componente</t>
  </si>
  <si>
    <t>Objetivo</t>
  </si>
  <si>
    <t xml:space="preserve">Codigo </t>
  </si>
  <si>
    <t>INDICADOR DE RESULTADO</t>
  </si>
  <si>
    <t>Nombre del Indicador Producto</t>
  </si>
  <si>
    <t>Meta de la Vigencia 2021</t>
  </si>
  <si>
    <t>Cantidad Programada Año 2021</t>
  </si>
  <si>
    <t>Línea 1: Dirección estratégica para una gestión con responsabilidad</t>
  </si>
  <si>
    <t>Definir e implementar acciones que permitan el direccionamiento institucional de la
E.S.E hacia la renovación de la infraestructura y la tecnología, el rediseño de la estructura
organizacional, la cultura en sistemas de gestión de la calidad y el fortalecimiento contractual, en
cumplimiento de nuestro objeto social, centrado en la seguridad del paciente y la satisfacción del
usuario y su familia.</t>
  </si>
  <si>
    <t>N/D</t>
  </si>
  <si>
    <t>Unidad de medida</t>
  </si>
  <si>
    <t>Porcentajes</t>
  </si>
  <si>
    <t>Modernización Institucional</t>
  </si>
  <si>
    <t>Manual de funciones adoptado</t>
  </si>
  <si>
    <t>Estructura organizacional adoptado</t>
  </si>
  <si>
    <t>Análisis de mercado para unidades de negocio</t>
  </si>
  <si>
    <t>Unidades funcionales con
estudios multifactoriales de
mercado</t>
  </si>
  <si>
    <t>Modernización de la estructura organizacional aprobada</t>
  </si>
  <si>
    <t>Personal en misión ajustados a los perfiles y competencias definidos</t>
  </si>
  <si>
    <t>Rediseño Organizacional</t>
  </si>
  <si>
    <t>Rediseñar el modelo de la gestión organizacional de la Institución de acuerdo a las necesidades y requerimientos cambiantes del entorno</t>
  </si>
  <si>
    <t xml:space="preserve">Razon </t>
  </si>
  <si>
    <t>Procesos Socializados</t>
  </si>
  <si>
    <t>Procesos Implementados</t>
  </si>
  <si>
    <t>Acciones de mejora ejecutadas derivada de las auditorías realizadas</t>
  </si>
  <si>
    <t>Formulación de la política de
administración del riesgo</t>
  </si>
  <si>
    <t>Numeo</t>
  </si>
  <si>
    <t>lograr el cumplimiento de las metas trazadas en el Plan de Desarrollo Institucional</t>
  </si>
  <si>
    <t>Cumplimiento del Plan de Desarrollo Ins􀆟tucional</t>
  </si>
  <si>
    <t>Ejecución estratégica</t>
  </si>
  <si>
    <t>Actividades de socialización del Plan
de Desarrollo</t>
  </si>
  <si>
    <t>Seguimiento a las metas de Plan de
Desarrollo</t>
  </si>
  <si>
    <t>Línea 2: Gestión financiera y administrativa para el desarrollo sostenible</t>
  </si>
  <si>
    <t>Gestionar el equilibrio y la sostenibilidad financiera, mediante el análisis permanente del comportamiento administrativo, contable y financiero, que provea la información necesaria para la toma de decisiones.</t>
  </si>
  <si>
    <t>Garantizar la financiera y rentabilidad social de la E.S.E, mediante la optimización de los recursos humanos, físicos, tecnológicos y financieros, y la evaluación permanente del riesgo fiscal y financiero, que faciliten el buen funcionamiento de los procesos organizacionales</t>
  </si>
  <si>
    <t>Aumento del margen EBITDA</t>
  </si>
  <si>
    <t>Riesgo fiscal y financiero</t>
  </si>
  <si>
    <t>Evolución del gasto por unidad
de valor relati_x001F_vo producida</t>
  </si>
  <si>
    <t xml:space="preserve">Deuda menor a 30 días por
concepto de salarios a
personal </t>
  </si>
  <si>
    <t>Equilibrio  presupuestal con
recaudo</t>
  </si>
  <si>
    <t xml:space="preserve">Razón </t>
  </si>
  <si>
    <t>Ciclo financiero eficiente y responsable</t>
  </si>
  <si>
    <t>Radicación oportuna de facturas</t>
  </si>
  <si>
    <t>Rotación de cartera en número de días posterior al reconocimiento de
la deuda.</t>
  </si>
  <si>
    <t>Días</t>
  </si>
  <si>
    <t>Respuesta oportuna de glosa
inicial de servicios</t>
  </si>
  <si>
    <t>Variación de la facturación semestral</t>
  </si>
  <si>
    <t>Recaudo por venta de servicios.</t>
  </si>
  <si>
    <t>Glosas definitivas</t>
  </si>
  <si>
    <t>Gestión de glosas definitivas</t>
  </si>
  <si>
    <t>Proceso de auditoria concurrente.</t>
  </si>
  <si>
    <t>Despliegue estratégico del Plan de Desarrollo a los funcionarios de la E.S.E.</t>
  </si>
  <si>
    <t>Seguimientos, análisis y evaluación del Plan de desarrollo</t>
  </si>
  <si>
    <t>Facturación como inicio de la sostenibilidad</t>
  </si>
  <si>
    <t>Cartera como soporte financiero</t>
  </si>
  <si>
    <t>Glosas y devoluciones para la eficiencia</t>
  </si>
  <si>
    <t>Auditoria concurrente por la calidad</t>
  </si>
  <si>
    <t>Costeo en los procesos para la toma de decisiones</t>
  </si>
  <si>
    <t>Modelo de costos empresarial TDABC</t>
  </si>
  <si>
    <t>Costear productos ofertados en la
institución</t>
  </si>
  <si>
    <t>Gestión de cuentas y proveedores</t>
  </si>
  <si>
    <t>Contratación basada en análisis de costos</t>
  </si>
  <si>
    <t>Gestión para el equilibrio presupuestal y pagos.</t>
  </si>
  <si>
    <t>Equilibrio presupuestal con
reconocimiento</t>
  </si>
  <si>
    <t>equilibrio presupuestal con
reconocimiento (Sin CXC y CXP)</t>
  </si>
  <si>
    <t>Ejecución presupuestal</t>
  </si>
  <si>
    <t>Razón</t>
  </si>
  <si>
    <t>Control efectivo en el manejo de los recursos</t>
  </si>
  <si>
    <t>Responsabilidad empresarial presupuestal</t>
  </si>
  <si>
    <t>Auditoria de pagos para transparencia.</t>
  </si>
  <si>
    <t>Información contable, confiable y segura para la toma de decisiones</t>
  </si>
  <si>
    <t xml:space="preserve">Proporción de medicamentos y
material médico quirúrgico
adquiridos mediante compras
conjuntas, coopera_x001F_vas de
empresas sociales del
estado y/o de mecanismos
electrónicos </t>
  </si>
  <si>
    <t>Cumplimiento del plan anual de
adquisiciones.</t>
  </si>
  <si>
    <t>Fortalecimiento administrativo de la E.S.E.</t>
  </si>
  <si>
    <t>Plan del mantenimiento hospitalario integral aprobado</t>
  </si>
  <si>
    <t>Actualización del manual de
contratación</t>
  </si>
  <si>
    <t>Cumplimiento de los planes de
mejoramiento.</t>
  </si>
  <si>
    <t>Contratación y ordenes de
compras, evaluadas por
comité de contratación.</t>
  </si>
  <si>
    <t>Tecnologías optimas y seguras para el buen funcionamiento de la E.S.E.</t>
  </si>
  <si>
    <t>Ejecución de los planes de mantenimiento para un buen funcionamiento de la E.S.E
Hospital La María.</t>
  </si>
  <si>
    <t>Fortalecimiento de la Farmacia para una atención digna y con calidad para nuestros usuarios</t>
  </si>
  <si>
    <t>Mantener las compra de
medicamentos y material médico
quirúrgico a través de plataformas</t>
  </si>
  <si>
    <t>Compra de insumos médicos y material médico quirúrgico por plataformas electrónicas y
otros medios.</t>
  </si>
  <si>
    <t>Fortalecimiento del cumplimiento de los reportes a los diferentes entes de control</t>
  </si>
  <si>
    <t>Oportunidad en el reporte de los
informes obligatorios a la
Supersalud</t>
  </si>
  <si>
    <t>Oportunidad en el reporte de los
informes obligatorios en la Resolución 2193  de 2004</t>
  </si>
  <si>
    <t>Información oportuna y veraz para los reportes de los entes de control.</t>
  </si>
  <si>
    <t>Proyectos estratégicos de la E.S.E.</t>
  </si>
  <si>
    <t>Seguimiento a la ejecución de los
recursos de los proyectos
aprobados.</t>
  </si>
  <si>
    <t>Seguimiento a la ejecución de proyectos aprobados.</t>
  </si>
  <si>
    <t>Línea 3: Gestión asistencial humanizada y equitativa</t>
  </si>
  <si>
    <t xml:space="preserve">prestar servicios de salud de alta y mediana complejidad; mediante una atención segura, humanizada y con calidad, a través de una gestión transparente y adecuada de los recursos; enfocándose en el mejoramiento continuo, la satisfacción del usuario, la familia y la comunidad </t>
  </si>
  <si>
    <t>Orientar la prestación de servicios de salud para el manejo de las patologías de gran impacto
en el departamento de Antioquía a través del fortalecimiento y la creación de nuevos servicios;
aumentando la eficiencia, eficacia y satisfacción; gestionando las necesidades del usuario</t>
  </si>
  <si>
    <t>Servicios nuevos
habilitados</t>
  </si>
  <si>
    <t>Proporción de Adopción y
socialización de las principales Guías de manejo médico</t>
  </si>
  <si>
    <t>Apertura de servicios de alta complejidad en respuesta a las necesidades de la comunidad
y a los hallazgos más representativos del perfil epidemiológico actual</t>
  </si>
  <si>
    <t>Servicio de hemofilia habilitando y
funcionando</t>
  </si>
  <si>
    <t>Servicio de hemodiálisis
habilitado y funcionando</t>
  </si>
  <si>
    <t>Servicio de cirugía oncológica
habilitado y funcionando</t>
  </si>
  <si>
    <t>Servicio de reumatología
habilitado y funcionando</t>
  </si>
  <si>
    <t>Fortalecer los servicios ofertados y habilitados</t>
  </si>
  <si>
    <t>Fortalecimiento de los servicios existentes a través de la implementación de acciones
encaminadas al mejoramiento de la atención</t>
  </si>
  <si>
    <t>Evaluación de aplicación de
guía de manejode la primera
causa de egreso hospitalario o de
morbilidad atendida</t>
  </si>
  <si>
    <t>Tiempo promedio de espera para la
asignación de citas de medicina
interna</t>
  </si>
  <si>
    <t>Tiempo promedio de espera para la
asignación de citas de cirugía</t>
  </si>
  <si>
    <t>Tiempo promedio de espera para la
asignación de citas de Urología</t>
  </si>
  <si>
    <t>Tiempo promedio de espera para la
asignación de citas de ortopedia</t>
  </si>
  <si>
    <t>Tiempo promedio de espera para la
atención del paciente clasificado como Triage II</t>
  </si>
  <si>
    <t>Minutos</t>
  </si>
  <si>
    <t>Oportunidad en la entrega de
resultados de laboratorio al
Servicio de Urgencias</t>
  </si>
  <si>
    <t>Oportunidad en la entrega de
resultados a Hospitalización</t>
  </si>
  <si>
    <t>Oportunidad en la realización de
apendicetomía</t>
  </si>
  <si>
    <t>Análisis de Mortalidad Intrahospitalaria</t>
  </si>
  <si>
    <t>Índice de infecciones intrahospitalarias</t>
  </si>
  <si>
    <t>Poner en marcha los planes de mejoramiento para el impacto en la oportunidad en la
atención y en la seguridad del paciente</t>
  </si>
  <si>
    <t>Desarrollo de convenios para la búsqueda activa comunitaria de pacientes con VIH en poblaciones
clave entre E.S.E Hospital La María y Enterritorio</t>
  </si>
  <si>
    <t>Pruebas rápidas de VIH realizadas a la población objeto</t>
  </si>
  <si>
    <t>Realizar convenios entre la E.S.E Hospital La María y Enterritorio para desarrollar actividades
en la población VIH en poblaciones clave</t>
  </si>
  <si>
    <t>Ser el centro de referencia para los servicios de alta complejidad del departamento de
Antioquía para los Hospitales de mediana y baja complejidad</t>
  </si>
  <si>
    <t>Aumento en el
numero de
pacientes referidos
por la red.</t>
  </si>
  <si>
    <t>Aumento en el accesibilidad a los
servicios de consulta externa
por la apertura de servicios en
modalidad telesalud</t>
  </si>
  <si>
    <t xml:space="preserve">Tiempos de respuesta en los
procesos de referencia. </t>
  </si>
  <si>
    <t xml:space="preserve">Días </t>
  </si>
  <si>
    <t>Fortalecer la gestión administrativa desde los niveles directivo técnico y operativo, en los procesos de defensa jurídica, contratación, apoyo a la gestión, compras y suministros, activos fijos, con eficiencia, eficacia y transparencia, garantizando resultados óptimos y como unidad funcional transversal hacia el resto de áreas de la organización.</t>
  </si>
  <si>
    <t>Implementación telesalud</t>
  </si>
  <si>
    <t>Conformación de Redes - Acuerdos de voluntades</t>
  </si>
  <si>
    <t xml:space="preserve">Atención intercultural </t>
  </si>
  <si>
    <t>Disminuir los tiempos de respuesta en los procesos de referencia y mejorar la percepción de la oportunidad, convirtiéndonos en el faro que ilumine las demás E.S.E del departamento</t>
  </si>
  <si>
    <t>Acuerdo de voluntades entre las ESE para la conformación de la red en el Departamento de Antioquia</t>
  </si>
  <si>
    <t>Servicios de telesalud implementados y en funcionamiento en la ESE</t>
  </si>
  <si>
    <t>Realizar el análisis de mercado para el ingreso de la E.S.E al Sistema Indígena de Salud Propio Intercultural (SISPI)</t>
  </si>
  <si>
    <t xml:space="preserve">Mejoramiento en la percepción de la respuesta a los procesos de remisión con las IPS de influencia </t>
  </si>
  <si>
    <t xml:space="preserve">Mejorar la oportunidad en los tiempos de respuesta en los procesos de referencia para la atención en la E.S.E  
</t>
  </si>
  <si>
    <t>Análisis del mercado para la atención intercultural</t>
  </si>
  <si>
    <t xml:space="preserve">implementar el servicio de telesalud en la ESE Hospital La María.
</t>
  </si>
  <si>
    <t>Formulación de acuerdos de voluntades con las ESE y EAPB en el Departamento.</t>
  </si>
  <si>
    <t xml:space="preserve">Modelo de atención aprobado </t>
  </si>
  <si>
    <t xml:space="preserve">Enfocar el proceso de atención de la E.S.E en el trato digno de las personas, con altos estándares de calidad y valor científico.
</t>
  </si>
  <si>
    <t>Realizar la atención integral basada en la satisfacción global y el trato digno en la ESE Hospital La María</t>
  </si>
  <si>
    <t xml:space="preserve"> Formular e implementar el modelo de Atención en salud en la ESE Hospital la María.</t>
  </si>
  <si>
    <t xml:space="preserve"> Formulación del modelo de atención</t>
  </si>
  <si>
    <t>Elabora el modelo de prestación de servicios de la ESE Hospital La María</t>
  </si>
  <si>
    <t>Velar por la protección del patrimonio documental de la entidad</t>
  </si>
  <si>
    <t>Digitalización de la información institucional</t>
  </si>
  <si>
    <t>Sistemas Gestión Documental</t>
  </si>
  <si>
    <t>Plan de digitalización de documentos Implementado</t>
  </si>
  <si>
    <t>Sistematización de Flujo de Trabajos</t>
  </si>
  <si>
    <t>Manuales, Procesos y Procedimientos Archivísticos Implementados</t>
  </si>
  <si>
    <t>Infraestructura para el archivo</t>
  </si>
  <si>
    <t>Sistema de general de archivo</t>
  </si>
  <si>
    <t xml:space="preserve"> Componente 1:  Modelo de atención integral centrado en el trato digno</t>
  </si>
  <si>
    <r>
      <t>Componente 2: Memoria institucional</t>
    </r>
    <r>
      <rPr>
        <b/>
        <sz val="12"/>
        <color rgb="FF000000"/>
        <rFont val="Arial"/>
        <family val="2"/>
      </rPr>
      <t>.</t>
    </r>
  </si>
  <si>
    <r>
      <t xml:space="preserve">Componente 3: </t>
    </r>
    <r>
      <rPr>
        <sz val="12"/>
        <color theme="1"/>
        <rFont val="Arial"/>
        <family val="2"/>
      </rPr>
      <t>Tecnología biomédica segura para la vida</t>
    </r>
  </si>
  <si>
    <t>Satisfacer las necesidades de los servicios asistenciales mediante una oportuno y eficiente mantenimiento en equipos biomédicos con personal especializado que aporte a los protocolos de bioseguridad</t>
  </si>
  <si>
    <t>Índice de satisfacción del cliente interno frente a la dotación de equipos biomédicos</t>
  </si>
  <si>
    <t>Índice de eventos adversos atribuibles a tecnología medica</t>
  </si>
  <si>
    <t>Diagnóstico de necesidades de tecnología y de equipos biomédicos</t>
  </si>
  <si>
    <t>Apoyar las áreas asistenciales a brindar los servicios de salud con seguridad y confianza</t>
  </si>
  <si>
    <t>Adquisición de equipos biomédicos</t>
  </si>
  <si>
    <t>Cumplimiento de cronograma de mantenimiento de equipos biomédicos</t>
  </si>
  <si>
    <t>Oportunidad de mantenimiento correctivo</t>
  </si>
  <si>
    <t xml:space="preserve">Cumplimiento de cronograma de calibración de equipos biomédicos.  (miden, cuentan y pesan) </t>
  </si>
  <si>
    <t>Adquisición de equipos biomédicos de última tecnología</t>
  </si>
  <si>
    <t>Realizar el mantenimiento preventivo y correctivo de los equipos biomédicos e industriales</t>
  </si>
  <si>
    <t xml:space="preserve">Realizar la calibración de los equipos biomédicos.
</t>
  </si>
  <si>
    <t xml:space="preserve">Componente 4: Tecnología segura para el desarrollo de la ESE 
</t>
  </si>
  <si>
    <t>Proporcionar una sistema ágil, seguro y oportuno que satisfaga las necesidades del cliente interno y externo, cumpliendo con las buenas prácticas en el área de las TIC.</t>
  </si>
  <si>
    <t>Índice de satisfacción del cliente interno con relación a las plataformas y herramientas digitales</t>
  </si>
  <si>
    <t>Índice de satisfacción del cliente externo en relación a la experiencia digital corporativa</t>
  </si>
  <si>
    <t>Recursos tecnológicos para el apoyo en la gestión</t>
  </si>
  <si>
    <t>Implementación de la política de gobierno digital</t>
  </si>
  <si>
    <t>Software para el sistema de inducción ESE Hospital La María</t>
  </si>
  <si>
    <t>Plataforma de inducción y gestión del conocimiento en funcionamiento</t>
  </si>
  <si>
    <t>Herramientas digitales en funcionamiento (ofimática, licencias y office)</t>
  </si>
  <si>
    <t xml:space="preserve">DATACENTER con
Dotación Tecnológica </t>
  </si>
  <si>
    <t>Plan de mantenimientos</t>
  </si>
  <si>
    <t>Recursos tecnológicos como líneas de apoyo para la prestación de servicio con calidad</t>
  </si>
  <si>
    <t>Componente 1:Institución solida</t>
  </si>
  <si>
    <t>Componente 3: Seguimiento estratégico para la toma de decisiones</t>
  </si>
  <si>
    <t>Componente 1:Equilibrio y sostenibilidad con rentabilidad social y financiera</t>
  </si>
  <si>
    <t>Componente 2: Administración con calidad, transparencia y eficiencia para todos</t>
  </si>
  <si>
    <t>Componente 1: Hospital Líder en la atención de las patologías con mayor impacto en la salud pública,
comprometidos con la excelencia en la atención</t>
  </si>
  <si>
    <t>Componente 2 :Integración y alianzas para el mejoramiento en la accesibilidad y en la oportunidad en los
servicios.
Diagnostico:</t>
  </si>
  <si>
    <t xml:space="preserve">Índice de variación de la percepción positiva de la imagen y marca de la ESE Hospital La María </t>
  </si>
  <si>
    <t>Realizar campañas Edu-Comunicativas con un enfoque diferencial, logrando incrementar la percepción y la inclusión social de nuestra institución</t>
  </si>
  <si>
    <t>Implementación de medios de comunicación que permitan la inclusión de la población vulnerable</t>
  </si>
  <si>
    <t>Desarrollo de un canal de comunicación interna que permita la interacción inmediata de los colaboradores de la E.S.E</t>
  </si>
  <si>
    <t xml:space="preserve">Plan de marketing digital elaborado y aprobado </t>
  </si>
  <si>
    <t>Análisis de canales de distribución para los segmentos de clientes específicos.</t>
  </si>
  <si>
    <t>Humanización y dignificación del servicio que se presta a los usuarios y pacientes</t>
  </si>
  <si>
    <t>Comunicación asertiva</t>
  </si>
  <si>
    <t xml:space="preserve">Enfoque diferenciador como un hospital en funcionamiento al bienestar de la población vulnerable de Antioquia (Discapacidad visual y auditiva)
</t>
  </si>
  <si>
    <t>Implementar estrategias de acompañamiento para la formación en la comunicación a personas con discapacidad.</t>
  </si>
  <si>
    <t>Ser incluyentes en temas de participación, acceso a la salud y trato digno.</t>
  </si>
  <si>
    <t>Componente 2: Atención y cuidado al usuario</t>
  </si>
  <si>
    <t>Fortalecer las relaciones de confianza entre el usuario, ciudadanía y el Hospital La María.</t>
  </si>
  <si>
    <t>Satisfacción del Usuario Externo</t>
  </si>
  <si>
    <t>Respuesta oportuna de las PQRSD de los usuarios</t>
  </si>
  <si>
    <t>Intervención social en el acceso a la salud</t>
  </si>
  <si>
    <t>Ejecución del Plan de la Política de Participación</t>
  </si>
  <si>
    <t>Aseguramiento</t>
  </si>
  <si>
    <t>Certificación, notificación, ayudas humanitarias, programas interinstitucionales, redes de apoyos, restablecimiento del derecho</t>
  </si>
  <si>
    <t>Control social a la salud</t>
  </si>
  <si>
    <t xml:space="preserve">Gestión y respuesta de PQRSD </t>
  </si>
  <si>
    <t xml:space="preserve">PQRSD </t>
  </si>
  <si>
    <t>Rendición de Cuentas</t>
  </si>
  <si>
    <t xml:space="preserve">Acompañamiento a La Comunidad </t>
  </si>
  <si>
    <t>Direccionamiento a Los Usuarios Frente a Temas De Salud</t>
  </si>
  <si>
    <t xml:space="preserve">Encuestas de satisfacción de usuarios.
</t>
  </si>
  <si>
    <t xml:space="preserve">Línea 6: Innovación, ciencia e investigación para la vida
</t>
  </si>
  <si>
    <t>Establecer los problemas en salud pública y contribuir con respuestas y medidas de intervención pertinente y costo efectivas de prevención de la enfermedad, promoción de la salud y control; con énfasis en nuestra población vulnerable.</t>
  </si>
  <si>
    <t>Componente 1: Investigación con sentido de vida y responsabilidad social</t>
  </si>
  <si>
    <t>Generar conocimiento en salud colectiva e individual, promoviendo el aprendizaje auto regulado y la actualización permanente con énfasis en la conducta ética, el profesionalismo y el compromiso con la sociedad.</t>
  </si>
  <si>
    <t>Publicaciones realizadas en diferentes medios</t>
  </si>
  <si>
    <t xml:space="preserve">Suscripción de Convenios de Cooperación para la investigación </t>
  </si>
  <si>
    <t>Investigación para ciencias médicas y salud</t>
  </si>
  <si>
    <t xml:space="preserve">Publicación de artículos en revistas indexadas </t>
  </si>
  <si>
    <t xml:space="preserve">Numero </t>
  </si>
  <si>
    <t>Publicaciones medicas en revistas indexadas</t>
  </si>
  <si>
    <t xml:space="preserve">Crear un modelo de hospital universitario que permita el fortalecimiento de los procesos institucionales, la adopción de altos estándares de calidad, el avance en la relación docencia servicio, los espacios disponibles y el aumento en la generación de conocimiento especializado, que aporte a los actores responsables de la toma de decisiones y generadores de políticas públicas.  </t>
  </si>
  <si>
    <t xml:space="preserve">Avances en el proceso de acreditación </t>
  </si>
  <si>
    <t xml:space="preserve">Desarrollo de la relación docencia servicio </t>
  </si>
  <si>
    <t>Aumentar el resultado de la autoevaluación en los estándares de acreditación</t>
  </si>
  <si>
    <t xml:space="preserve">Ejecutar las oportunidades de mejora en cada ciclo </t>
  </si>
  <si>
    <t>Planear y ejecutar el proceso de acreditación en salud, con el objetivo de lograr la acreditación como hospital universitario</t>
  </si>
  <si>
    <r>
      <t xml:space="preserve">Componente 1: </t>
    </r>
    <r>
      <rPr>
        <b/>
        <sz val="12"/>
        <color rgb="FFFF0000"/>
        <rFont val="Arial"/>
        <family val="2"/>
      </rPr>
      <t xml:space="preserve"> </t>
    </r>
    <r>
      <rPr>
        <sz val="12"/>
        <color rgb="FF000000"/>
        <rFont val="Arial"/>
        <family val="2"/>
      </rPr>
      <t>Alineación ecológica con responsabilidad social</t>
    </r>
    <r>
      <rPr>
        <b/>
        <sz val="12"/>
        <color rgb="FFFF0000"/>
        <rFont val="Arial"/>
        <family val="2"/>
      </rPr>
      <t xml:space="preserve"> </t>
    </r>
  </si>
  <si>
    <t xml:space="preserve">Definir el proceso de gestión ambiental y articularlo con las diferentes áreas de la institución, a través, de mecanismos y estrategias que permitan el desarrollo de los procesos medio ambientales y la normatividad legal vigente.
</t>
  </si>
  <si>
    <t>Formular el Plan de Gestión Ambiental</t>
  </si>
  <si>
    <t>Actualización del Plan de Gestión de Residuos Generados en la atención de servicios de Salud y otras actividades PGIRASA</t>
  </si>
  <si>
    <t>Formular el PLAN – Movilidad Empresaria Sostenible (MES)</t>
  </si>
  <si>
    <t xml:space="preserve">Plan de Mantenimiento ambiental y del componente arbóreo </t>
  </si>
  <si>
    <t>Actualización del PGIRASA</t>
  </si>
  <si>
    <t>Aguas residuales</t>
  </si>
  <si>
    <t>Plan MES-Movilidad Empresarial Sostenible</t>
  </si>
  <si>
    <t>12.8.	Línea 8: Gestión integral del talento humano que trabaja con amor por la vida</t>
  </si>
  <si>
    <t>Proveer el personal a los servicios formado y entrenado en los componentes técnicos generales del Hospital y específicos del área o servicio para donde fue asignado, mediante el fortalecimiento de los procesos de inducción y reinducción del personal, general y del cargo</t>
  </si>
  <si>
    <r>
      <t xml:space="preserve">Componente 2: </t>
    </r>
    <r>
      <rPr>
        <sz val="12"/>
        <color theme="1"/>
        <rFont val="Arial"/>
        <family val="2"/>
      </rPr>
      <t>Desarrollo del talento humano</t>
    </r>
  </si>
  <si>
    <t xml:space="preserve">Mejoramiento de la productividad y la satisfacción del empleado con su trabajo y con la Institución a través de la capacitación, el bienestar, los incentivos, la seguridad y salud en el trabajo 
</t>
  </si>
  <si>
    <t>Componente: 3 Retiro del talento humano</t>
  </si>
  <si>
    <t>Implementar estrategias que permitan la retención y conservación del conocimiento, la fidelización del personal de apoyo misional y administrativo, y el retiro digno del personal jubilado</t>
  </si>
  <si>
    <t>Formación y educación técnica para el talento humano que trabaja con amor por la vida</t>
  </si>
  <si>
    <t xml:space="preserve">Conocimiento logrado con la inducción </t>
  </si>
  <si>
    <t xml:space="preserve">Conocimiento logrado con la reinducción </t>
  </si>
  <si>
    <t>Cobertura de inducción</t>
  </si>
  <si>
    <t>Cobertura de Reinducción</t>
  </si>
  <si>
    <t>Plan de formación y capacitación</t>
  </si>
  <si>
    <t>Inducción, Reinducción y evaluación de desempeño</t>
  </si>
  <si>
    <t>Índice de satisfacción en el clima laboral</t>
  </si>
  <si>
    <t>Mejoramiento de la productividad y la satisfacción del empleado</t>
  </si>
  <si>
    <t>Sistema de gestión de seguridad y salud en el trabajo implementado en cada una de las áreas de la ESE</t>
  </si>
  <si>
    <t>Aplicación del instrumento de medición del clima laboral</t>
  </si>
  <si>
    <t>Cumplimiento del desarrollo del plan de bienestar laboral.</t>
  </si>
  <si>
    <t>Cumplimiento al plan anual de capacitaciones</t>
  </si>
  <si>
    <t>Cumplimiento con Plan anual de vacantes</t>
  </si>
  <si>
    <t>Cumplimiento con el Plan estratégico de talento humano</t>
  </si>
  <si>
    <t>Cumplimiento con el Plan de bienestar Social</t>
  </si>
  <si>
    <t>Cumplimiento con el Plan de estímulos e incentivos</t>
  </si>
  <si>
    <t>Cumplimiento con el Plan de evaluación del desempeño</t>
  </si>
  <si>
    <t>Implementación Sistema de gestión de seguridad y salud en el trabajo</t>
  </si>
  <si>
    <t>Actualización y seguimiento de los Planes Institucionales</t>
  </si>
  <si>
    <t>Medición del clima Laboral</t>
  </si>
  <si>
    <t xml:space="preserve">Variación de la deserción del personal de apoyo administrativo y misional </t>
  </si>
  <si>
    <t xml:space="preserve">Satisfacción del empleado jubilado y su familia  </t>
  </si>
  <si>
    <t>Fidelización del personal de apoyo misional y administrativo</t>
  </si>
  <si>
    <t>Cumplimiento en las actividades de capacitación prejubilables</t>
  </si>
  <si>
    <t>Índice de rotación del personal administrativo y misional</t>
  </si>
  <si>
    <t xml:space="preserve">Formulación de la Política de Gestión del
Conocimiento </t>
  </si>
  <si>
    <t>Gestionar el talento humano de la institución para el funcionamiento, mantenimiento y mejora de los procesos, que favorezca el desarrollo de nuestra misión</t>
  </si>
  <si>
    <r>
      <t>Gestión del conocimiento</t>
    </r>
    <r>
      <rPr>
        <b/>
        <sz val="12"/>
        <color theme="1"/>
        <rFont val="Arial"/>
        <family val="2"/>
      </rPr>
      <t xml:space="preserve"> </t>
    </r>
  </si>
  <si>
    <t>INDICADOR DE PRODUCTO</t>
  </si>
  <si>
    <t>Objetivo linea estratégica</t>
  </si>
  <si>
    <t>Documentación de procesos bajo Sistema de Gestión de la calidad y gestión de riesgo</t>
  </si>
  <si>
    <t>Ejecución presupuestal en mantenimiento hospitalario</t>
  </si>
  <si>
    <t xml:space="preserve">Oportunidad de los indicadores clínicos asistenciales priorizados en el plan de gestión. </t>
  </si>
  <si>
    <t xml:space="preserve">Gestión y análisis de los eventos adversos, relacionados con la seguridad del paciente. </t>
  </si>
  <si>
    <t xml:space="preserve">Cumplimiento de
proyectos especial
</t>
  </si>
  <si>
    <t xml:space="preserve">12.4.	Línea 4: Enfoque de servicios por la vida
</t>
  </si>
  <si>
    <t>Componente 2:Investigación para la formación de competencias y desarrollo profesional en salud.</t>
  </si>
  <si>
    <t xml:space="preserve">Avances en la Implementación de acciones del Plan de Gestión Ambiental </t>
  </si>
  <si>
    <r>
      <t xml:space="preserve">Componente 1: </t>
    </r>
    <r>
      <rPr>
        <sz val="12"/>
        <color rgb="FF000000"/>
        <rFont val="Arial"/>
        <family val="2"/>
      </rPr>
      <t>: Ingreso y desarrollo del talento humano</t>
    </r>
  </si>
  <si>
    <t>Aumento en el cumplimiento de la implementación del Plan de Salud y seguridad en el trabajo.</t>
  </si>
  <si>
    <t>Mejoramiento del porcentaje de satisfacción en el clima laboral</t>
  </si>
  <si>
    <t xml:space="preserve">Componente 2: Comprometidos con el mejoramiento continuo </t>
  </si>
  <si>
    <t>Desarrollar actividades tendientes al mantenimiento y mejora del Sistema Obligatorio de Garantía de la Calidad.</t>
  </si>
  <si>
    <t>Promedio de la calificación de la Autoevaluación del Programa de Auditoria para el Mejoramiento de la Calidad</t>
  </si>
  <si>
    <t xml:space="preserve">Sistema de Gestión de la Calidad </t>
  </si>
  <si>
    <t>Sistema de Gestión de la Calidad</t>
  </si>
  <si>
    <r>
      <rPr>
        <u/>
        <sz val="11"/>
        <color theme="1"/>
        <rFont val="Arial"/>
        <family val="2"/>
      </rPr>
      <t>&lt;</t>
    </r>
    <r>
      <rPr>
        <sz val="11"/>
        <color theme="1"/>
        <rFont val="Arial"/>
        <family val="2"/>
      </rPr>
      <t>1</t>
    </r>
  </si>
  <si>
    <r>
      <rPr>
        <u/>
        <sz val="11"/>
        <color theme="1"/>
        <rFont val="Arial"/>
        <family val="2"/>
      </rPr>
      <t>&gt;</t>
    </r>
    <r>
      <rPr>
        <sz val="11"/>
        <color theme="1"/>
        <rFont val="Arial"/>
        <family val="2"/>
      </rPr>
      <t>5</t>
    </r>
  </si>
  <si>
    <t>JEFE MARTHA Y LA PERSONA QUE TRABAJE TELESALUD</t>
  </si>
  <si>
    <t>SANDRA Y SUS FUNCIONARIOS DE APOYO</t>
  </si>
  <si>
    <t>JULIANA GOMEZ Y SUS FUNCIONARIOS DE APOYO</t>
  </si>
  <si>
    <t>SEBASTIAN Y SUS FUNCIONARIOS DE APOYO</t>
  </si>
  <si>
    <t>LUISA HOYOS Y SUS FUNCIONARIOS DE APOYO, Y CONTROL SOCIAL</t>
  </si>
  <si>
    <t>LILIANA RICAURTE, COSTOS, CONTABILIDAD, GLOSAS, FACTURACIÓN</t>
  </si>
  <si>
    <t>DR LARRY -LENO DARIO ARBOLEDA</t>
  </si>
  <si>
    <t>VALERIA Y SUS FUNCIONARIOS DE APOYO</t>
  </si>
  <si>
    <t>SUBGERENCIA, JURIDICA, MANTEMIENTO HOSPITALARIO, CONSTRUCCIÓN DE LAS TORRES MEDICA Y ADMINISTRATIVA, COMPRA DE MEDICAMENTOS E INSUMOS , SERVICIOS GENERALES, ALIMENTACIÓN</t>
  </si>
  <si>
    <t>DR CARLOS MARÍO SALZAR Y TODOS SUS FUNCIONARIOS DE APOYO.</t>
  </si>
  <si>
    <t>COORDINADOR MEDICO, ESPECIALISTAS, ASOCIACIÓN SINDICAL, ENFERMEREAS Y MEDICOS DE PLANTA, PROYECTOS ESPECIALES, LABORATORIO CIRUGIA</t>
  </si>
  <si>
    <t>COORDINADOR MEDICO</t>
  </si>
  <si>
    <t>1020200-1-1020200-4</t>
  </si>
  <si>
    <t>8002100-4</t>
  </si>
  <si>
    <t>8002100-5</t>
  </si>
  <si>
    <t>8002100-2</t>
  </si>
  <si>
    <t>YAN ZULUAGA + RICARDO CASTRILLON + SALARIO DEL GERENTE-REVISOR FISCAL</t>
  </si>
  <si>
    <t xml:space="preserve">FALTA MAS DE FARMACIA </t>
  </si>
  <si>
    <t>2020201 -1010200-1</t>
  </si>
  <si>
    <t>4100200-1 --1010200-1 -2010200-7 - 2010200-7-2010200-4-2020202-6</t>
  </si>
  <si>
    <t>1010200-41 -1010200-1-2010200-12-1010200-1</t>
  </si>
  <si>
    <t>2010200-12</t>
  </si>
  <si>
    <t>2010200-6</t>
  </si>
  <si>
    <t>2020200-6</t>
  </si>
  <si>
    <t>NORALBA,  FALTA NATALIA Y LA OTRA CONTRATISTA</t>
  </si>
  <si>
    <t>YESID FRANK QUIROZ VARELA- FALTA  CLAUDIA AVENDAÑO</t>
  </si>
  <si>
    <t>Realizar la socialización del Plan de Desarrollo a las diferentes áreas y profesionales de la Institución.</t>
  </si>
  <si>
    <t>porcentaje</t>
  </si>
  <si>
    <t>Hacer publicaciones en la pagina y la intranet del hospital el PDI</t>
  </si>
  <si>
    <t>Presentar en el comité directivo los avances de la ejecución de las metas propuesta en el plan.</t>
  </si>
  <si>
    <t xml:space="preserve">Realizar los analisis de unidades de mercado de negocio de la ESE </t>
  </si>
  <si>
    <t>Realizar cronograma o plan de trabajo para la el ajuste o actualización del manual</t>
  </si>
  <si>
    <t xml:space="preserve">Realizar el estudio de la estrutura presentada y aprobada en junta directiva </t>
  </si>
  <si>
    <t>Presentar ante la asamblea el estudio  estrutura organizacional para su aprobación</t>
  </si>
  <si>
    <t xml:space="preserve">Diagnostico ambiental y sanitario </t>
  </si>
  <si>
    <t xml:space="preserve">Programa de formación y educación ambiental </t>
  </si>
  <si>
    <t>Separación en la fuente</t>
  </si>
  <si>
    <t>Planeación: elección de estrategias para promover la movilidad sostenible</t>
  </si>
  <si>
    <t xml:space="preserve">Educación y sensibilización sobre Movilidad Empresarial Sostenible </t>
  </si>
  <si>
    <t>Implementación del Plan MES</t>
  </si>
  <si>
    <t>Caracterización de vertimientos anual</t>
  </si>
  <si>
    <t>Tramitar el tratamiento de las Aguas Residuales No Domesticas( ARnD) con EPM</t>
  </si>
  <si>
    <t xml:space="preserve">Capacitaciones para la eduación y concientización del consumo del agua </t>
  </si>
  <si>
    <t>Descansapantallas sobre el uso adecuado del agua</t>
  </si>
  <si>
    <t>Realizar lavado y mantenimiento del tanque de almacenamiento de agua cada 6 meses</t>
  </si>
  <si>
    <t>Realizar capacitaciones al personal del aseo para el buen uso de productos de desinfección y limpieza</t>
  </si>
  <si>
    <t>2010200-2</t>
  </si>
  <si>
    <t>2010200-3</t>
  </si>
  <si>
    <t>2010200-8</t>
  </si>
  <si>
    <t>2010200-9</t>
  </si>
  <si>
    <t>2020102-1</t>
  </si>
  <si>
    <t xml:space="preserve">1010200-1  1010100  </t>
  </si>
  <si>
    <t>1010200-1         1010200-4</t>
  </si>
  <si>
    <t>1010200-4     1010200-1           1010100</t>
  </si>
  <si>
    <t>1010200-1        2020101</t>
  </si>
  <si>
    <t>1010200-1   1010000</t>
  </si>
  <si>
    <t>2010200-4   1010000</t>
  </si>
  <si>
    <t>1010200-1         1010200-4      3300100</t>
  </si>
  <si>
    <t>SERVICIOS PUBLICOS</t>
  </si>
  <si>
    <t>RECURSO HUMANO ADMINISTRATIVO</t>
  </si>
  <si>
    <t>VIGENCIAS ANTERIORES RECURSO HUMANO ASISTENCIAL</t>
  </si>
  <si>
    <t xml:space="preserve">Jornadas de socialización y sensibilziación de los procesos documentados </t>
  </si>
  <si>
    <t xml:space="preserve">Definición de los indicadores de los procesos </t>
  </si>
  <si>
    <t xml:space="preserve">Verificación del cumplimiento de las acciones de mejora de proceso </t>
  </si>
  <si>
    <t xml:space="preserve">Formulación de la poltica de administración del riesgo  y adopción mediante resolución </t>
  </si>
  <si>
    <t xml:space="preserve">Documentación de procesos , según el mapa de procesos </t>
  </si>
  <si>
    <t>Realizar mensulamente el seguimiento de la metas propuestas en el plan</t>
  </si>
  <si>
    <t>Realizar el diagnóstico de tecnologia de equipos biomédicos paratiendo de la matriz de evaluacion tecnológica.</t>
  </si>
  <si>
    <t>número</t>
  </si>
  <si>
    <t xml:space="preserve">Realizar estudio de mercado de tecnologia biomedica para la adquisición. </t>
  </si>
  <si>
    <t xml:space="preserve">Mantenimiento preventivo equipos biomedicos </t>
  </si>
  <si>
    <t xml:space="preserve">Control de tiempos de ejecucion de mantenimiento correctivo </t>
  </si>
  <si>
    <t xml:space="preserve">Calibracion de equipos biomedicos </t>
  </si>
  <si>
    <t>dias</t>
  </si>
  <si>
    <t xml:space="preserve">Adquirir  software de inducción </t>
  </si>
  <si>
    <t xml:space="preserve"> Implementar una aplicativo para el apoyo en la gestión del conocimento de la ESE Hospital La María</t>
  </si>
  <si>
    <t>Mantenimiento preventivo equipos de computo</t>
  </si>
  <si>
    <t>Seguimiento y control a las aplicaciones que se encuentran instladas en los equipos de computo de la ESE Hospital la María</t>
  </si>
  <si>
    <t>Adquisicion de equipos provistos para un DATACENTER</t>
  </si>
  <si>
    <t>1.Realizar capacitaciones al personal asistencial enfocadas en la atención con enfoque diferencial. (lenguaje de señas, personas en condiciones de discapacidad, población indígena, etc.)</t>
  </si>
  <si>
    <t xml:space="preserve"> Por medio de los canales institucionales (redes sociales, carteleras, descansa pantallas) sencibilizar o distribuir piezas gráficas información sobre la atención con enfoque diferencial. </t>
  </si>
  <si>
    <t>Socialización de la carta del trato digno y derechos y deberes de los usuarios a los empleados de la E.S.E Hospital La María.</t>
  </si>
  <si>
    <t xml:space="preserve">Realizar piezas gráficas que sencibilicen al personal y comunidad en general sobre el trato digno a la población vulnerable que serán difundidas por los diferentes medios de comunicación institucionales. </t>
  </si>
  <si>
    <t>Creación de un canal de YouTube enfocado en las experiencias de vida de población: invidentes, en condiciones de discapacidad, víctimas de conflicto, etc.)</t>
  </si>
  <si>
    <t>. Creación de un boletín interno, el cual tendrá noticias destacadas de lo que pasa en la institución. Este será difundido por los correos electrónicos y grupos de WhasApp.</t>
  </si>
  <si>
    <t>Realizar una parrilla de contenido que abarque temas de interés con enfoque diferencial.</t>
  </si>
  <si>
    <t>Realizar unn informe del analisis de los canales  de distribución de los segmentos de clientes especificos</t>
  </si>
  <si>
    <t>Realizar capacitaciones al personal asistencial enfocadas en la atención con enfoque diferencial. (lenguaje de señas, personas en condiciones de discapacidad, población indígena, etc.)</t>
  </si>
  <si>
    <t>Realizar talleres sobre temas de enfoque diferencial, acceso a la salud y trato digno con algunos representantes de la comunidad.</t>
  </si>
  <si>
    <t xml:space="preserve">Brindar a los usuarios apoyo alimentario por medio del comedor comunitario que nos ofrecen algunos líderes de la comuna 5. </t>
  </si>
  <si>
    <t>Solicitar donaciones a empresas privadas de acuerdo a las necesidades requeridas de los usuaros, ya que la mayoría no cuenta con los recursos necesaros.</t>
  </si>
  <si>
    <t>Generar una oportuna respuesta a las diferentes PQRSD que llegan a la oficina del SIAU.</t>
  </si>
  <si>
    <t>Socializar con la comunidad el debido procedmiento que tiene una PQRSD dentro de la institución. (rondas educativas, piezas gráficas).</t>
  </si>
  <si>
    <t xml:space="preserve"> Realización y Socialización de rendición de cuentas.</t>
  </si>
  <si>
    <t xml:space="preserve"> Brindar asesoría y orenteción a los usuarios que tienen dificultades con el acceso a la salud.</t>
  </si>
  <si>
    <t>Guiar a la Asociación de Usuarios en sus diferentes reuniones respecto a temas de participación social en salud</t>
  </si>
  <si>
    <t>Realizar comités de ética en los cuales se encuentran algunos represenantes de la comunidad.</t>
  </si>
  <si>
    <t xml:space="preserve">Brindar asesoría y orentción a los usuarios que tienen dificultades con el acceso a la salud. </t>
  </si>
  <si>
    <t xml:space="preserve"> Medir la percepción de los usuarios frente al servicio prestado en los servicios de consulta externa y hospitalicación</t>
  </si>
  <si>
    <t>COMUNOCACIÓN</t>
  </si>
  <si>
    <t>ATENCIÓN AL USUARIO</t>
  </si>
  <si>
    <t>GESTIÓN HUMANA</t>
  </si>
  <si>
    <t xml:space="preserve"> cronograma de actividades de capacitación y formacion durante el 2021, dirigido a todo el personal que ingresa a la institución en cualquier tipo de vinculación con la ESE; El plan busca adherencia a las politicas de la ESE, formando en competencias laborales y humanas generando idoneidad en el desempeño de los cargos.</t>
  </si>
  <si>
    <t>Actualizar y mantener conocimientos generales de la Institución, para el mejor desempeño de empledos, contratistas, agremiados y estudiantes que intervengan en la ESE.  Se evaluará semestralmente todos los empleados en las areas de desempeño</t>
  </si>
  <si>
    <t>El SGSST es un modelo de estandares obligatorios que la institucion debe cumplir, encaminados a la proteccion y la seguridad del trabajador en su desempeño laaboral. Incluye protocolos y programas.</t>
  </si>
  <si>
    <t>Numero de evento</t>
  </si>
  <si>
    <t>70 al 75%</t>
  </si>
  <si>
    <t>75 al 80%</t>
  </si>
  <si>
    <t>80 al 85%</t>
  </si>
  <si>
    <t>Medicion a traves de una encuesta de la satisfaccion y de la percepcion del ambiente laboral por parte de cada empleado de la ESE.</t>
  </si>
  <si>
    <t>Plan de Bienestar e Incentivos contiene las tareas y actividades que busca el mejoramiento del ambiente laboral, generando valores agregados para los empleados y su entorno, mediante actividades, subsidios, incentivos y otros que refuerzan la compensacion de su labor.</t>
  </si>
  <si>
    <t>Plan y cronograma de actividades formativas y educativas, planteadas para el personal de la institución, acorde con las necesidades presentadas por cada area.</t>
  </si>
  <si>
    <t>planeacion de las posibles vacantes que se desarrollan en el transcurso del año, y su provision.  Para el 2021 son 11 vacantes por jubilacion mas las que puedan generarse, por otros motivos no programados.</t>
  </si>
  <si>
    <t>Es el plan de trabajo institucional del area de Gestion Humana, que contiene todas las tareas a cargo del proceso</t>
  </si>
  <si>
    <t>Es el plan de evaluacion donde se mide el nivel de desempeño de los empleados vinculados a la ESE.  Se realiza semestralmente y se alimenta a la CNSC mediante la plataforma EDL-APP y los formatos de medicion.</t>
  </si>
  <si>
    <t>Capacitaciones para el personal pre- jubilable, y actividades del grupo de jubilados de la institución.</t>
  </si>
  <si>
    <t>Reducir la rotacion del personal administrativo y misional, vinculado a la ESE por los diversos medios de contratacion.</t>
  </si>
  <si>
    <t>Formular politica de conocimieno e inv.</t>
  </si>
  <si>
    <t>politica</t>
  </si>
  <si>
    <t>Movimiento Interno de Residuos</t>
  </si>
  <si>
    <t xml:space="preserve">Garantizar la disposición final del 100% de los residuos de riesgo biológico por empresa externa idónea, a través de un contrato. </t>
  </si>
  <si>
    <t>Número</t>
  </si>
  <si>
    <t>Diagnostico: encuesta de origen-destino a colaboradores</t>
  </si>
  <si>
    <t>Uso eficiente de los recursos  naturales       ( Uso eficiente del uso del agua)</t>
  </si>
  <si>
    <t>Uso eficiente de los recursos  naturales       ( Uso eficiente del uso de la energía)</t>
  </si>
  <si>
    <t>Fijar las bases para la Conservación y Limpieza de Zonas Verdes del Hospital la maría, mediante un estándar de actividades programadas para su sostenimiento y cumplimiento.</t>
  </si>
  <si>
    <t xml:space="preserve">Capacitaciones para la eduación y concientización del consumo de la energía y la luz natural </t>
  </si>
  <si>
    <t>Descansapantallas sobre el uso adecuado de la energía</t>
  </si>
  <si>
    <t>Realizar seguimiento a los consumos de energía</t>
  </si>
  <si>
    <t>ÁREA DE GESTIÓN AMBIENTAL</t>
  </si>
  <si>
    <t>Realizar el documento de atención de la ESE Hospital La María</t>
  </si>
  <si>
    <t>SUBGERENCIA-PLANEACION-CALIDAD</t>
  </si>
  <si>
    <t>Realizar el inventario documental</t>
  </si>
  <si>
    <t xml:space="preserve">Eliminación de documentos que cumplieronn el tiempo de custodia </t>
  </si>
  <si>
    <t>Organización documental</t>
  </si>
  <si>
    <t xml:space="preserve">Identificar el proveedor para Plataforma de Gestión Documental </t>
  </si>
  <si>
    <t>Capacitaciones al personal en: Reglamento Interno de Archivo- Archivos de Gestión- Ventanilla Unica</t>
  </si>
  <si>
    <t xml:space="preserve">Realizar preauditoria a las facturas antes de su radicacion </t>
  </si>
  <si>
    <t xml:space="preserve">Entrega oportuna y efetiva de turnos de enfermeria y farmacia </t>
  </si>
  <si>
    <t xml:space="preserve">Realizar seguimiento con visitas a los contratantes </t>
  </si>
  <si>
    <t>Circularizacion de la cartera con todas las entidades responsables de pago</t>
  </si>
  <si>
    <t xml:space="preserve">Registro diario de la recepcion de las glosas </t>
  </si>
  <si>
    <t xml:space="preserve">Radicacion de las respuestas de glosas </t>
  </si>
  <si>
    <t>Auditoria de los egresos sin facturar</t>
  </si>
  <si>
    <t xml:space="preserve">Gestion de la consecucion  de las causales de la glosa </t>
  </si>
  <si>
    <t xml:space="preserve">Realizar negociaciones y conciliaciones efectivas </t>
  </si>
  <si>
    <t>Verificar la existencia del documento del proceso</t>
  </si>
  <si>
    <t>creacion y monitoreo de centros de costos</t>
  </si>
  <si>
    <t xml:space="preserve">Generar los informes mensuales  de cada centro de costos,  </t>
  </si>
  <si>
    <t xml:space="preserve">Realizar analisis de facturacion Vs gastos de manera mensual </t>
  </si>
  <si>
    <t xml:space="preserve">realizar control a la totalidad de los requisitos exigidos para proceser al pago </t>
  </si>
  <si>
    <t>Analizar mensual el comportamiento presupuestal y presentacion de informe</t>
  </si>
  <si>
    <t xml:space="preserve">Elaborar conciliaciones de la informacion entre las diferentes areas que confluyen a contabilidad. </t>
  </si>
  <si>
    <t>Actualizar el listado basico</t>
  </si>
  <si>
    <t>Realizar control de maximos y minimos que permita un reposición oportuna de cantidades de acuerdo a la necesidades de la institución.</t>
  </si>
  <si>
    <t>Adjudicar oportunamente en plataforma para garantizar cumplimiento de tiempos establecidos por los proveedores.</t>
  </si>
  <si>
    <t>Realizar auditorias ambientales</t>
  </si>
  <si>
    <t>Certificación en buenas practicas de manufactura(BPM), para la producción de aire medicinales.</t>
  </si>
  <si>
    <t>convocar el comité de cotración para la socialización de la actualización del del Manual de contratación.</t>
  </si>
  <si>
    <t>Realizar la actualización del manual de contratación de la ESE Hospital La Maria.</t>
  </si>
  <si>
    <t>Realizar informe de las ordenes evaluadas en cada comité de contratación</t>
  </si>
  <si>
    <t>Verificar que las ordenes de  compra cumplan con los requisitos estabalecidos por la ESE.</t>
  </si>
  <si>
    <t>Realizar el seguimiento del cumplimientos de los planes de mejoramiento existentes en la institución.</t>
  </si>
  <si>
    <t>Realizar cronograma de mantenimiento hospitalario acorde conn lo establecido en el Plan</t>
  </si>
  <si>
    <t xml:space="preserve">Verificar el cumplimientodel cronograma del plan de matenimiento </t>
  </si>
  <si>
    <t>Verificar el cumplimiento de los informes requeridos a la supersalud en los tiempos establecidos(informes,pantallazos del cargue)</t>
  </si>
  <si>
    <t>Verificar el cumplimiento de los informes  de la resolución 2193 de 2004, en los tiempos establecidos(informes,pantallazos del cargue)</t>
  </si>
  <si>
    <t>Realizar informes y presentarlos a la junta directiva y al gerente de la ejecución de los proyectos</t>
  </si>
  <si>
    <t>servicios de mensajeria, alimentación, lavanderia, vigilancia,combustible, aseo y otras actividades prioritarias para la ESE</t>
  </si>
  <si>
    <t>adquirir equipos de computo con tecnologia moderna que aporte al desarrollo del hospital</t>
  </si>
  <si>
    <t xml:space="preserve">	Línea 5: Compañía, amor y humanización al servicio de todos</t>
  </si>
  <si>
    <t>Generar una oportuna respuesta a las problemáticas, necesidades, oportunidades, limitaciones y debilidades, que afectan a la comunidad, con el propósito de dar cumplimiento al marco legal vigente en derechos humanos y participación social en salud</t>
  </si>
  <si>
    <t>Componente 1: Comunicación para el cambio y desarrollo social</t>
  </si>
  <si>
    <t>Brindar información de calidad y de manera oportuna a los usuarios, garantizando en el proceso un acceso digno y eficaz a la salud, sin importar su condición de vulnerabilidad</t>
  </si>
  <si>
    <t>Percepción del acceso a los servicios de salud que oferta la E.S.E.</t>
  </si>
  <si>
    <t xml:space="preserve">. Brindar asesoría y orientación a los usuarios que tienen dificultades con el acceso a la salud. </t>
  </si>
  <si>
    <t xml:space="preserve">realizar guias y protocolos de atencion de hemodialis </t>
  </si>
  <si>
    <t xml:space="preserve">tener recurso humano entrenado </t>
  </si>
  <si>
    <t xml:space="preserve">evaluacion de capacitaciones </t>
  </si>
  <si>
    <t xml:space="preserve">porcentaje </t>
  </si>
  <si>
    <t xml:space="preserve">realizar guias y protocolos de atencion de hemofilia </t>
  </si>
  <si>
    <t xml:space="preserve">realizar contratacion con eps para el programa de hemofilia </t>
  </si>
  <si>
    <t xml:space="preserve">numero </t>
  </si>
  <si>
    <t xml:space="preserve">contratar personal idoneo </t>
  </si>
  <si>
    <t xml:space="preserve">realizar contratacion con eps para el programa de cirugia oncologica </t>
  </si>
  <si>
    <t xml:space="preserve">realizar guias y protocolos de atencion de cirugia oncologica </t>
  </si>
  <si>
    <t>contar con infraestructura adecuada para prestacion del servicio</t>
  </si>
  <si>
    <t xml:space="preserve">realizar contratacion con eps para el programa de reumatologia </t>
  </si>
  <si>
    <t xml:space="preserve">realizar guias y protocolos de atencion de reumatologia </t>
  </si>
  <si>
    <t xml:space="preserve">evaluacion trimestral de adherencia guias según formato de de aherencia historia clinica </t>
  </si>
  <si>
    <t xml:space="preserve">crear formato de adherencia a historia clinica </t>
  </si>
  <si>
    <t xml:space="preserve">contratacion 40 horas semanales medicina interna adicionales a las que se tenian </t>
  </si>
  <si>
    <t xml:space="preserve">evaluacion de oportunidad medicina interna mensual </t>
  </si>
  <si>
    <t>ampliacion capacidad en 2 consultorios</t>
  </si>
  <si>
    <t xml:space="preserve">aumento 30 horas consulta cirugia general </t>
  </si>
  <si>
    <t xml:space="preserve">evaluacion oportunidad asignacion citas valoracion mensaul </t>
  </si>
  <si>
    <t xml:space="preserve">disponibilidad de 1 consultorio cada dia </t>
  </si>
  <si>
    <t xml:space="preserve">ampliacion 8 horas semanales consulta urologia </t>
  </si>
  <si>
    <t>uno</t>
  </si>
  <si>
    <t xml:space="preserve">aumnetar 16 horas semanalas consulta ortopedia </t>
  </si>
  <si>
    <t xml:space="preserve">valoracion indicador de oportunidad mensual </t>
  </si>
  <si>
    <t xml:space="preserve">asignacion medico para paciente critico </t>
  </si>
  <si>
    <t xml:space="preserve">evaluacion indicador de oportunidad atencion triage II mensual </t>
  </si>
  <si>
    <t>capacitacion personal en tecnica ESI semestral</t>
  </si>
  <si>
    <t xml:space="preserve">asignacion camillero para laboratorio 40 horas a la semana </t>
  </si>
  <si>
    <t>cambio de sofware laboratorio</t>
  </si>
  <si>
    <t>evaluacion indicador de oportunidad mensual</t>
  </si>
  <si>
    <t xml:space="preserve">aumento 30 horas cirugia general a la semana  </t>
  </si>
  <si>
    <t xml:space="preserve">aumento capacidfad instalada en dos quirofanos </t>
  </si>
  <si>
    <t xml:space="preserve">evaluacion mensual de indicador de apendicectomia </t>
  </si>
  <si>
    <t xml:space="preserve">evaluacion mensual de indicador de mortalidad intrahospitalaria </t>
  </si>
  <si>
    <t>analisis mensual en comité COVE</t>
  </si>
  <si>
    <t>evaluacion del indicador de infeccion intrahospitalaria mensual</t>
  </si>
  <si>
    <r>
      <t xml:space="preserve">Realizar </t>
    </r>
    <r>
      <rPr>
        <b/>
        <sz val="11"/>
        <color theme="1"/>
        <rFont val="Arial"/>
        <family val="2"/>
      </rPr>
      <t>Pruebas Rápidas</t>
    </r>
    <r>
      <rPr>
        <sz val="11"/>
        <color theme="1"/>
        <rFont val="Arial"/>
        <family val="2"/>
      </rPr>
      <t xml:space="preserve"> de VIH a la población HSH, TRANS y TS</t>
    </r>
  </si>
  <si>
    <r>
      <t xml:space="preserve">Realizar </t>
    </r>
    <r>
      <rPr>
        <b/>
        <sz val="11"/>
        <color theme="1"/>
        <rFont val="Arial"/>
        <family val="2"/>
      </rPr>
      <t>Pruebas Rápidas</t>
    </r>
    <r>
      <rPr>
        <sz val="11"/>
        <color theme="1"/>
        <rFont val="Arial"/>
        <family val="2"/>
      </rPr>
      <t xml:space="preserve"> de VIH a la población PID</t>
    </r>
  </si>
  <si>
    <r>
      <t xml:space="preserve">Hacer la entrega de </t>
    </r>
    <r>
      <rPr>
        <b/>
        <sz val="11"/>
        <color theme="1"/>
        <rFont val="Arial"/>
        <family val="2"/>
      </rPr>
      <t>Paquetes de Prevención</t>
    </r>
    <r>
      <rPr>
        <sz val="11"/>
        <color theme="1"/>
        <rFont val="Arial"/>
        <family val="2"/>
      </rPr>
      <t xml:space="preserve"> de ETS a la población HSH, TRANS y TS</t>
    </r>
  </si>
  <si>
    <r>
      <t xml:space="preserve">Hacer la entrega de </t>
    </r>
    <r>
      <rPr>
        <b/>
        <sz val="11"/>
        <color theme="1"/>
        <rFont val="Arial"/>
        <family val="2"/>
      </rPr>
      <t>KITS de Inyección</t>
    </r>
    <r>
      <rPr>
        <sz val="11"/>
        <color theme="1"/>
        <rFont val="Arial"/>
        <family val="2"/>
      </rPr>
      <t xml:space="preserve"> a la población PID</t>
    </r>
  </si>
  <si>
    <t xml:space="preserve">aumentar en numero de contratos con la EPS del departamneto en 25 % al año </t>
  </si>
  <si>
    <t xml:space="preserve">implementacion sofware centro regulador </t>
  </si>
  <si>
    <t xml:space="preserve">ampliacion portafoliode servicio en dos nuevas especialidades </t>
  </si>
  <si>
    <t xml:space="preserve">implementar programa teleconsulta al menos una especialidad </t>
  </si>
  <si>
    <t xml:space="preserve">union temporal estrategica para realizar telesalud </t>
  </si>
  <si>
    <t xml:space="preserve">realizar analisis de pacientes comentados a la ESE </t>
  </si>
  <si>
    <t xml:space="preserve">implementar sofware centro regular  , pacientes recibidos en plataforma </t>
  </si>
  <si>
    <t>aumentra personal apoyo centro regulador 120 horas semana</t>
  </si>
  <si>
    <t>realizar gestion con la EPS  AIC para contratacion</t>
  </si>
  <si>
    <t>Contratación de recurso humano asistencial (personal médico, enfermeras, especialistas)</t>
  </si>
  <si>
    <t>Programa Especial INPEC
Realizar la gestión  de contratos de proyectos especiales (INPEC)</t>
  </si>
  <si>
    <t>Realizar la gestión  de contratos de proyectos especiales
Programa Especial VIH-SAVIA</t>
  </si>
  <si>
    <t>Asesora de proyectos especiales</t>
  </si>
  <si>
    <t>Realizar plan de mejoramiento de acuerdo a las oportunidades de mejoras encontradas en la autoevaluación.</t>
  </si>
  <si>
    <t>Realizar la autoevaluación de los estandares de acreditación - PAMEC</t>
  </si>
  <si>
    <t xml:space="preserve">Realizar Publicación de artículos en revistas  indexadas </t>
  </si>
  <si>
    <t>SEGUIMIENTO PLAN OPERATIVO ANUAL</t>
  </si>
  <si>
    <t>1 TRIMESTRE</t>
  </si>
  <si>
    <t>2TRIMESTRE</t>
  </si>
  <si>
    <t>3TRIMESTRE</t>
  </si>
  <si>
    <t>4 TRIMESTRE</t>
  </si>
  <si>
    <t>RECURSOS EJECUTADOS 1 TRIMESTRE</t>
  </si>
  <si>
    <t>RECURSOS EJECUTADOS 2 TRIMESTRE</t>
  </si>
  <si>
    <t>RECURSOS EJECUTADOS 3 TRIMESTRE</t>
  </si>
  <si>
    <t>RECURSOS EJECUTADOS 4 TRIMESTRE</t>
  </si>
  <si>
    <t>TOTAL RECURSOS EJECUTADOS AÑO</t>
  </si>
  <si>
    <t>% RECURSOS EJECUTADOS AÑO</t>
  </si>
  <si>
    <t>OBSERVACIÓN 1 TRIMESTRE</t>
  </si>
  <si>
    <t>OBSERVACIÓN 2TRIMESTRE</t>
  </si>
  <si>
    <t>OBSERVACIÓN 4 TRIMESTRE</t>
  </si>
  <si>
    <t>RELACIÓN DE CONTRATOS O COMPRAS QUE APORTAN A LA EJECUCIÓN DE LAS ACTIVIDADES
1 TRIMESTRE</t>
  </si>
  <si>
    <t>RELACIÓN DE CONTRATOS O COMPRAS QUE APORTAN A LA EJECUCIÓN DE LAS ACTIVIDADES
2 TRIMESTRE</t>
  </si>
  <si>
    <t>RELACIÓN DE CONTRATOS O COMPRAS QUE APORTAN A LA EJECUCIÓN DE LAS ACTIVIDADES
3 TRIMESTRE</t>
  </si>
  <si>
    <t>RELACIÓN DE CONTRATOS O COMPRAS QUE APORTAN A LA EJECUCIÓN DE LAS ACTIVIDADES
4 TRIMESTRE</t>
  </si>
  <si>
    <t>OBSERVACIONES</t>
  </si>
  <si>
    <t>OBEJTIVO  DE LA LINEA:Definir e implementar acciones que permitan el direccionamiento institucional de la E.S.E hacia la renovación de la infraestructura y la tecnología, el rediseño de la estructura organizacional, la cultura en sistemas de gestión de la calidad y el fortalecimiento contractual, en cumplimiento de nuestro objeto social,entrado en la seguridad del paciente y la satisfacción del usuario y su familia.</t>
  </si>
  <si>
    <t>EVIDENCIAS O INFORMES QUE SOPORTEN LA REALIZACIÓN DE LAS ACTIVIDADES</t>
  </si>
  <si>
    <t>SEGUIMIENTO DEL PLAN OPERATIVO ANUAL DE INVERSIONES</t>
  </si>
  <si>
    <t>ESE HOSPITAL LAMARÍA</t>
  </si>
  <si>
    <t>TOTAL ACTIVIDADES PLANEADAS</t>
  </si>
  <si>
    <t>TOTAL ACTIVIDADES EJECUATDAS 1 TRIMESTRE</t>
  </si>
  <si>
    <t>% CUMPLIMIENTO</t>
  </si>
  <si>
    <t>TOTAL ACTIVIDADES EJECUATDAS 2 TRIMESTRE</t>
  </si>
  <si>
    <t>TOTAL ACTIVIDADES EJECUATDAS 3 TRIMESTRE</t>
  </si>
  <si>
    <t>TOTAL ACTIVIDADES EJECUATDAS 4 TRIMESTRE</t>
  </si>
  <si>
    <t>TOTAL RECURSOS ASISGNADOS</t>
  </si>
  <si>
    <t xml:space="preserve">RECURSOS EJECUTADOS 1 TRIMESTRE </t>
  </si>
  <si>
    <t xml:space="preserve">RECURSOS EJECUTADOS 2 TRIMESTRE </t>
  </si>
  <si>
    <t xml:space="preserve">RECURSOS EJECUTADOS 3 TRIMESTRE </t>
  </si>
  <si>
    <t xml:space="preserve">RECURSOS EJECUTADOS 4 TRIMESTRE </t>
  </si>
  <si>
    <t>UNIDAD DE MEDIDA</t>
  </si>
  <si>
    <t xml:space="preserve">Número </t>
  </si>
  <si>
    <t>SEGUIMIENTO FÍSICO  PLAN OPERATIVO ANUAL DE INVERSIONES DE LA LINEA 1</t>
  </si>
  <si>
    <t>SEGUIMIENTO FÍSICO  PLAN OPERATIVO ANUAL DE INVERSIONES DEL COMPONENTE  1</t>
  </si>
  <si>
    <t>SEGUIMIENTO FINACIERO DEL PLAN OPERATIVO ANUAL DE INVERSIONES DELCOMPONENTE  1</t>
  </si>
  <si>
    <t>SEGUIMIENTO FÍSICO  PLAN OPERATIVO ANUAL DE INVERSIONES DEL COMPONENTE 2</t>
  </si>
  <si>
    <t>SEGUIMIENTO FINACIERO DEL PLAN OPERATIVO ANUAL DE INVERSIONES DEL COMPONENTE 2</t>
  </si>
  <si>
    <t>SEGUIMIENTO FÍSICO  PLAN OPERATIVO ANUAL DE INVERSIONES DEL COMPONENTE 3</t>
  </si>
  <si>
    <t>SEGUIMIENTO FINACIERO DEL PLAN OPERATIVO ANUAL DE INVERSIONES  DEL COMPONENTE 3</t>
  </si>
  <si>
    <t>TOTAL COMPONENTE</t>
  </si>
  <si>
    <t>OBEJTIVO  DE LA LINEA: Gestionar el equilibrio y la sostenibilidad financiera, mediante el análisis permanente del comportamiento administrativo, contable y financiero, que provea la información necesaria para la toma de decisiones.</t>
  </si>
  <si>
    <t xml:space="preserve">OBEJTIVO  DE LA LINEA:prestar servicios de salud de alta y mediana complejidad; mediante una atención segura, humanizada y con calidad, a través de una gestión transparente y adecuada de los recursos; enfocándose en el mejoramiento continuo, la satisfacción del usuario, la familia y la comunidad </t>
  </si>
  <si>
    <t>Línea 4: Enfoque de servicios por la vida</t>
  </si>
  <si>
    <t>OBEJTIVO  DE LA LINEA:Enfocar el proceso de atención de la E.S.E en el trato digno de las personas, con altos estándares de calidad y valor científico.</t>
  </si>
  <si>
    <t>SEGUIMIENTO PLAN OPERATIVO ANUAL INVERSIONES</t>
  </si>
  <si>
    <t>Línea 5: Compañía, amor y humanización al servicio de todos</t>
  </si>
  <si>
    <t>OBEJTIVO  DE LA LINEA:Generar una oportuna respuesta a las problemáticas, necesidades, oportunidades, limitaciones y debilidades, que afectan a la comunidad, con el propósito de dar cumplimiento al marco legal vigente en derechos humanos y participación social en salud</t>
  </si>
  <si>
    <t>Línea 6: Innovación, ciencia e investigación para la vida</t>
  </si>
  <si>
    <t>OBEJTIVO  DE LA LINEA:Establecer los problemas en salud pública y contribuir con respuestas y medidas de intervención pertinente y costo efectivas de prevención de la enfermedad, promoción de la salud y control; con énfasis en nuestra población vulnerable. fortalecimiento contractual, en cumplimiento de nuestro objeto social,entrado en la seguridad del paciente y la satisfacción del usuario y su familia.</t>
  </si>
  <si>
    <t>TOTALCOMPONENTE</t>
  </si>
  <si>
    <t>Línea 7: Medio ambiente sano y seguro, dejando huella para la vida</t>
  </si>
  <si>
    <t>OBEJTIVO  DE LA LINEA:Fortalecer la planeación y gestión de seguridad y salud en el trabajo, medio ambiente e infraestructura, a través, del desarrollo de los componentes estratégicos, temáticos y medibles</t>
  </si>
  <si>
    <t>Línea 8: Gestión integral del talento humano que trabaja con amor por la vida</t>
  </si>
  <si>
    <t>OBEJTIVO  DE LA LINEA:Gestionar el talento humano de la institución para el funcionamiento, mantenimiento y mejora de los procesos, que favorezca el desarrollo de nuestra misión</t>
  </si>
  <si>
    <t>Número de Paquetes</t>
  </si>
  <si>
    <t>NUMERO de KITS de Inyección</t>
  </si>
  <si>
    <t>Numero de Pruebas</t>
  </si>
  <si>
    <t>SEGUIMIENTO FÍSICO  PLAN OPERATIVO ANUAL DE INVERSIONES DEL COMPONENTE 4</t>
  </si>
  <si>
    <t>SEGUIMIENTO FINACIERO DEL PLAN OPERATIVO ANUAL DE INVERSIONES  DEL COMPONENTE 4</t>
  </si>
  <si>
    <t>SEGUIMIENTO FÍSICO  PLAN OPERATIVO ANUAL DE INVERSIONES DE LA LINEA 4</t>
  </si>
  <si>
    <t>Día</t>
  </si>
  <si>
    <t>SEGUIMIENTO FINACIERO DEL PLAN OPERATIVO ANUAL DE INVERSIONES  DE LA LINEA 4</t>
  </si>
  <si>
    <t>SEGUIMIENTO FINACIERO DEL PLAN OPERATIVO ANUAL DE INVERSIONES  LINEA 5</t>
  </si>
  <si>
    <t>SEGUIMIENTO FÍSICO  PLAN OPERATIVO ANUAL DE INVERSIONES DE LA LINEA 5</t>
  </si>
  <si>
    <t>SEGUIMIENTO FÍSICO  PLAN OPERATIVO ANUAL DE INVERSIONES DE LA LINEA 6</t>
  </si>
  <si>
    <t>SEGUIMIENTO FINACIERO DEL PLAN OPERATIVO ANUAL DE INVERSIONES  DELA LINEA 6</t>
  </si>
  <si>
    <t>SEGUIMIENTO FINACIERO DEL PLAN OPERATIVO ANUAL DE INVERSIONES  DE LA LINEA 7</t>
  </si>
  <si>
    <t>SEGUIMIENTO FÍSICO  PLAN OPERATIVO ANUAL DE INVERSIONES DE LA LINEA 7</t>
  </si>
  <si>
    <t>SEGUIMIENTO FÍSICO  PLAN OPERATIVO ANUAL DE INVERSIONES DE LA LINEA 8</t>
  </si>
  <si>
    <t>SEGUIMIENTO FINACIERO DEL PLAN OPERATIVO ANUAL DE INVERSIONES   DE LA LINEA 8</t>
  </si>
  <si>
    <t>NUMERO</t>
  </si>
  <si>
    <t xml:space="preserve">LINEAS </t>
  </si>
  <si>
    <t>PRIMER TRIMESTRE</t>
  </si>
  <si>
    <t>SEGUNDO  TRIMESTRE</t>
  </si>
  <si>
    <t>TERCER TRIMESTRE</t>
  </si>
  <si>
    <t>CUARTO TRIMESTRE</t>
  </si>
  <si>
    <t>Linea 1</t>
  </si>
  <si>
    <t>Linea 2</t>
  </si>
  <si>
    <t>Linea 3</t>
  </si>
  <si>
    <t>Linea 4</t>
  </si>
  <si>
    <t>Linea 5</t>
  </si>
  <si>
    <t>Linea 6</t>
  </si>
  <si>
    <t>Linea 7</t>
  </si>
  <si>
    <t>Linea 8</t>
  </si>
  <si>
    <t>META</t>
  </si>
  <si>
    <t xml:space="preserve"> RECURSOS ASISGNADOS</t>
  </si>
  <si>
    <t>TOTAL LINEAS</t>
  </si>
  <si>
    <t>RESUMEN DE EJECUCIÓN FÍSICA Y FIANCIERA DEL POAI 2021 DE LA ESE HOSPITAL LA MARÍA.</t>
  </si>
  <si>
    <t>SEGUIMIENTO FÍSICO  POAI 2021</t>
  </si>
  <si>
    <t>2010200-12  1020200-1</t>
  </si>
  <si>
    <t>Revision diaria de prefacturas de pacientes con probabilidad de alta</t>
  </si>
  <si>
    <t>Programadas 1 trimestre</t>
  </si>
  <si>
    <t>Ejecutadas 1 trimestre</t>
  </si>
  <si>
    <t>Ejecutadas 2 trimestre</t>
  </si>
  <si>
    <t>Programadas 3 trimestre</t>
  </si>
  <si>
    <t>Ejecutadas 3 trimestre</t>
  </si>
  <si>
    <t>Programadas 4 trimestre</t>
  </si>
  <si>
    <t>TOTAL EJECUTADAS 1 TRIMESTRE</t>
  </si>
  <si>
    <t>% PORCENTAJE DE CUMPLIMIENTO</t>
  </si>
  <si>
    <t>RECURSOS INICIALES ASIGNADOS</t>
  </si>
  <si>
    <t>RECURSOS EJECUTADOS  1 TRIMESTRES</t>
  </si>
  <si>
    <t xml:space="preserve">NUMERO </t>
  </si>
  <si>
    <t>PORCENTAJE</t>
  </si>
  <si>
    <t>LINEA DEL PLAN</t>
  </si>
  <si>
    <t xml:space="preserve"> Dirección estratégica para una gestión con responsabilidad</t>
  </si>
  <si>
    <t>Gestión integral del talento humano que trabaja con amor por la vida</t>
  </si>
  <si>
    <t>Medio ambiente sano y seguro, dejando huella para la vida</t>
  </si>
  <si>
    <t>Innovación, ciencia e investigación para la vida</t>
  </si>
  <si>
    <t>Compañía, amor y humanización al servicio de todos</t>
  </si>
  <si>
    <t>Enfoque de servicios por la vida</t>
  </si>
  <si>
    <t>Gestión asistencial humanizada y equitativa</t>
  </si>
  <si>
    <t>Gestión financiera y administrativa para el desarrollo sostenible</t>
  </si>
  <si>
    <t xml:space="preserve"> NUMERO TOTAL ACTIVIDADES  PROGRAMADAS  LINEA</t>
  </si>
  <si>
    <t>NUMERO DE ACTIVIDADES PROYECTADAS 1 TRIMESTRE</t>
  </si>
  <si>
    <t>Modificaciones (Adicion, Reduccion)</t>
  </si>
  <si>
    <t>GESTION INTEGRAL DEL RIESGO, ENFERMEDADES DE TRANSMISION SEXUAL, EMBARAZO EN ADOLESCENTES Y VIOLENCIAS SEXUALES</t>
  </si>
  <si>
    <t>8002100-3</t>
  </si>
  <si>
    <t>8002100-8</t>
  </si>
  <si>
    <t>PROGRAMA ESPECIAL TB Y LEPRA</t>
  </si>
  <si>
    <t>PAGO VIGENCIAS ANTERIORES</t>
  </si>
  <si>
    <t>construccion, remodelacion y adecuacion</t>
  </si>
  <si>
    <t>ADICIONES</t>
  </si>
  <si>
    <t>TOTAL SEMESTRE</t>
  </si>
  <si>
    <t>% DE EJECUCIÓN</t>
  </si>
  <si>
    <t>RESUMEN DE EJECUCIÓN  FIANCIERA DEL POAI 2021 DE LA ESE HOSPITAL LA MARÍA</t>
  </si>
  <si>
    <t xml:space="preserve">TERCER TRIMESTRE </t>
  </si>
  <si>
    <t>CAMBIIO DE % A NUMERO</t>
  </si>
  <si>
    <t>NUMERO-NUMERO</t>
  </si>
  <si>
    <t>CUMPLIDOS</t>
  </si>
  <si>
    <t xml:space="preserve"> Cantidad Programada Año 2022</t>
  </si>
  <si>
    <t>Meta de la Vigencia 2022</t>
  </si>
  <si>
    <t xml:space="preserve">Oportunidad en la entrega de resultados de laboratorio al Servicio de Urgencias </t>
  </si>
  <si>
    <t>PLAN OPERATIVO ANUAL DE INVERSIONES 2022</t>
  </si>
  <si>
    <t xml:space="preserve">Actualizar y adoptar el  manual de funciones acorde a lka estructura funcional </t>
  </si>
  <si>
    <t xml:space="preserve">continuar con  el estudio de la estrutura y  presentarlo para  aprobación en la junta directiva </t>
  </si>
  <si>
    <t>Continuar la socialización del Plan de Desarrollo a las diferentes áreas y profesionales de la Institución.</t>
  </si>
  <si>
    <t>Documentación de los procesos bajo el  Sistema de Gestión de la calidad y gestión de riesgo.</t>
  </si>
  <si>
    <t>Documentación de procesos segun los requerimientos del sistema unico de habilitación y del mapa de procesos.</t>
  </si>
  <si>
    <t>Socialización y sensibilziación de los procesos documentados   al lider y responsables del servicio</t>
  </si>
  <si>
    <t>Auditoria y/o informe de  la verificación de la implementación de los procesos documentados</t>
  </si>
  <si>
    <t xml:space="preserve"> someter a aprobación el manual de contratación actualizado</t>
  </si>
  <si>
    <t>Asegurar la validación de las oredes de compra en el comité de compras y/o comité de contratación</t>
  </si>
  <si>
    <t>Asegurar la funcionalidad de la contratación de los servicios de interdependecia (alimentación, lavanderia, vigilancia, servicios  generales) y otros servicios de apoyo ( mensajeria, combustible y recolección de residuos, personal administrativo contratado a través de las asociaciones sindicales)</t>
  </si>
  <si>
    <t>desarrollar la actividades contenidas en los planes de mejoramiento relacionados con la infraestrutura la dotación intrahospitalaria, los servicios de interdependencia y de apoyoñ</t>
  </si>
  <si>
    <t>Radicar el plan de matenimiento hospitalario en la SSSA</t>
  </si>
  <si>
    <t>Asegurar el cumplimiento de las actividades programadas en el plan de matenimietno( ver cronograma)</t>
  </si>
  <si>
    <t>Reporte oportuno de los informes a la supersalud ( archivo plano con la evidencia del cargue)</t>
  </si>
  <si>
    <t xml:space="preserve">Reporte oportuno de los informes al Ministerio de Salud resolución 2193 de 2004 ( archivo plano con la evidencia del cargue)
</t>
  </si>
  <si>
    <t>Realizar informes  de seguimiento  ejecución  de los proyectos en cursos.</t>
  </si>
  <si>
    <t xml:space="preserve">Poner en marcha los planes de mejoramiento para el impacto en la oportunidad en la atención y en la seguridad del paciente </t>
  </si>
  <si>
    <t>continuar con el seguimiento  mensual de la metas propuestas en el plan</t>
  </si>
  <si>
    <t>o</t>
  </si>
  <si>
    <t>Garantizar una atención  oportuna a lo pacienntes que requiere terapia de remplazo renal ambulatoria y hospitalaria</t>
  </si>
  <si>
    <t>controlar y disminuir la insidencia de infeciones en cateter de hemodialisis, cateter de dialisis peritoneal y fistula arteriovenosa</t>
  </si>
  <si>
    <t>procentaje</t>
  </si>
  <si>
    <t>Documentar los protocolos  y guias  para la   atención del servicio de  dialisis peritoneal.</t>
  </si>
  <si>
    <t xml:space="preserve">Actualizar los protocolos y guias del servicio de hemodialis </t>
  </si>
  <si>
    <t>Realizar reentrenamiento del personal del servicio de hemodialisis</t>
  </si>
  <si>
    <t>Realizar encuesta de satifacción sobre la  calidad en la atención a los pacientes  del programa ambulatorio de hemodialisis y dialisis peritoneal.</t>
  </si>
  <si>
    <t>Realizar cronograma de transferencias documentales.</t>
  </si>
  <si>
    <t>Realizar el seguimiento al Plan institucional de archivos- PINAR</t>
  </si>
  <si>
    <t>Actualizar  y publicar el programa de gestión documental</t>
  </si>
  <si>
    <t>Realizar el manual de correspondiente ( acuerdo 060 de 2001)</t>
  </si>
  <si>
    <t>1.Realizar transferencias de conocimientos al personal asistencial enfocadas en la atención con enfoque diferencial. (lenguaje de señas, personas en condiciones de discapacidad, población indígena, etc.)</t>
  </si>
  <si>
    <t xml:space="preserve">Creación de contenido audiovisual para redes sociales (facebook, instagram, Twitter) sobre información general de la institución.  </t>
  </si>
  <si>
    <t>Creación de un boletín interno, el cual tendrá noticias destacadas de lo que pasa en la institución. Este será difundido por los correos electrónicos y grupos de WhasApp.</t>
  </si>
  <si>
    <t>Realizar capacitaciones al personal asistencial dirigidas en la atención con enfoque  diferencial. (lenguaje de señas, personas en condiciones de discapacidad, población indígena, etc.)</t>
  </si>
  <si>
    <t>Socialización de la carta del trato digno donde se encuentran los derechos y deberes de los usuarios, a los empleados de la E.S.E Hospital La María. (atención al usuario).</t>
  </si>
  <si>
    <t xml:space="preserve">Realizar talleres sobre temas de acceso y derecho a la salud y trato digno con algunos representantes de la comunidad (Asociación de usuarios ESE Hospital y Comité de ética). </t>
  </si>
  <si>
    <t xml:space="preserve">Acompañamiento a los diferentes espacios de participación de la ESE Hospital La María (Asociación de Usuarios y Comité de ética) </t>
  </si>
  <si>
    <t xml:space="preserve">Socialización de la carta del trato digno donde se encuentran los derechos y deberes de los usuarios, a los usuarios de la E.S.E Hospital La María. </t>
  </si>
  <si>
    <t xml:space="preserve"> Medir la percepción de los usuarios frente al servicio prestado en los servicios de consulta externa y hospitalización</t>
  </si>
  <si>
    <t xml:space="preserve">Realizar la actualización del PGIRASA, de acuerdo a las necesidades que se presenten en la E.S.E. y a la normatividad vigente </t>
  </si>
  <si>
    <t>Actualización del Plan de Gestión de
Residuos Generados en la atención
Salud y otras actividades PGIRASA</t>
  </si>
  <si>
    <t xml:space="preserve">Ejecutar el PGIRASA en la E.S.E. </t>
  </si>
  <si>
    <t>Seguimiento del Plan MES en la institución</t>
  </si>
  <si>
    <t xml:space="preserve">Capacitaciones para la educación y concientización del consumo del agua </t>
  </si>
  <si>
    <t xml:space="preserve">Capacitaciones para la educación y concientización del consumo de la energía y la luz natural </t>
  </si>
  <si>
    <t xml:space="preserve">Realizar procedimiento de reinducción de la E.S.E Hospital La María </t>
  </si>
  <si>
    <t>Realizar medición de clima organizacional en la E.S.E Hospital La María.</t>
  </si>
  <si>
    <t>Medir la ejecución del cronograma del plan de Bienestar Social e Incentivos.</t>
  </si>
  <si>
    <t>Medir la ejecución del cronograma del plan de Formación y Capacitaciones.</t>
  </si>
  <si>
    <t>Realizar seguimiento a los novedades que se presentan durante la anualidad al Plan de Vacantes Institucional.</t>
  </si>
  <si>
    <t>Seguimiento a la ejecución del plan evaluación del desempeño.</t>
  </si>
  <si>
    <t>Seguimiento a la ejecución del cronograma a las capacitaciones del personal prejubilable</t>
  </si>
  <si>
    <t>Medir el indicador de rotación del personal.</t>
  </si>
  <si>
    <t xml:space="preserve">formular y aprobación Política de Gestión del Conocimiento </t>
  </si>
  <si>
    <t>Facturacion de egresos dentro las 72 horas de la salida del paciente</t>
  </si>
  <si>
    <t>Realizar Auditoria de los egresos sin facturar</t>
  </si>
  <si>
    <t xml:space="preserve">Elaborar conciliaciones de la informacion entre las areas  de contabilidad,tesoreria y presupuesto. </t>
  </si>
  <si>
    <t>Realizar un seguimiento  periodico de los ingresos  VS  los gastos</t>
  </si>
  <si>
    <t>Realizar monitoreo de centros de costos</t>
  </si>
  <si>
    <t>Asistir a la citas de conciliación programadas</t>
  </si>
  <si>
    <t>2.1.1.01.01.001</t>
  </si>
  <si>
    <t xml:space="preserve">2.1.1.01.01.001 2.1.2.02.02.008.802 2.1.2.02.02.008.803 </t>
  </si>
  <si>
    <t>2.1.2.02.02.008.803</t>
  </si>
  <si>
    <t xml:space="preserve">2.1.2.02.02.008.803  2.1.2.02.02.009.901 2.1.1.01.01.001 </t>
  </si>
  <si>
    <t>2.1.2.02.02.006.604.64119 2.1.2.02.02.006.608.68030 2.1.2.02.02.008.802.82199 2.1.2.02.01.003.003.33370 2.1.2.02.02.006.608.68021 2.1.2.02.02.008.805.85330 2.1.2.02.02.008.805.85250 2.1.2.02.01.003.010 2.1.2.02.02.005.504.54790 2.1.2.02.02.008.807.87154 2.1.2.02.02.008.807.87156 2.1.2.02.02.009.907.97130 2.1.2.02.02.008.807.87157 2.1.2.02.02.008.807.87159 2.1.2.02.01.003.002.32193 2.1.2.02.01.003.006.3641 2.1.2.02.02.008.807.87152 2.1.1.01.01.001  2.1.2.02.02.009.901</t>
  </si>
  <si>
    <t>2.3.2.02.02.009</t>
  </si>
  <si>
    <t>2.1.2.02.02.008.803.83990 2.1.2.02.02.008.803.83611 2.1.2.02.02.008.803.83151 2.1.2.02.02.006.603.63391 2.1.1.01.01.001  2.1.2.02.02.009.901</t>
  </si>
  <si>
    <t>2.1.2.02.02.009.903 2.1.2.02.02.009.904</t>
  </si>
  <si>
    <t xml:space="preserve">2.1.2.02.02.006.608 </t>
  </si>
  <si>
    <t>2.1.2.02.02.008.809 2.1.2.02.02.008.803 2.1.2.02.01.003.010 2.1.2.02.02.008.807.87130</t>
  </si>
  <si>
    <t>2.4.5.01.03 2.1.2.02.02.009.903 2.1.2.02.02.009.905 2.1.2.02.02.008.805 2.1.2.02.02.007.703 2.1.2.02.02.008.803 2.1.2.02.01.004.008 2.1.1.01.01.001</t>
  </si>
  <si>
    <t>CONSOLIDADO POAI 2022</t>
  </si>
  <si>
    <t xml:space="preserve">LINEA </t>
  </si>
  <si>
    <t>COMPONENTE</t>
  </si>
  <si>
    <t>VALOR</t>
  </si>
  <si>
    <t>TOTAL LINEA</t>
  </si>
  <si>
    <t>% SOBRE TOTAL DE LA LINEA</t>
  </si>
  <si>
    <t xml:space="preserve">% LINEA SOBRE TOTAL PRESUPUESTO </t>
  </si>
  <si>
    <t>Componente 2:ADMINISTRACIÓN CON CALIDAD, TRANSPARENCIA Y EFICIENCIA PARA TODOS</t>
  </si>
  <si>
    <t>Componente 2:Componente 2: administración con calidad, transparencia y eficiencia para todos</t>
  </si>
  <si>
    <t>Componente 2 :Integración y alianzas para el mejoramiento en la accesibilidad y en la oportunidad en los
servicios.</t>
  </si>
  <si>
    <t>Componente 2: Memoria institucional</t>
  </si>
  <si>
    <t>Componente 3: Tecnología biomédica segura para la vida</t>
  </si>
  <si>
    <t xml:space="preserve">Componente 4: Tecnología segura para el desarrollo de la ESE </t>
  </si>
  <si>
    <t>LÍNEA 7: MEDIO AMBIENTE SANO Y SEGURO, DEJANDO HUELLA PARA LA VIDA</t>
  </si>
  <si>
    <t>COMPONENTE 1:
ALINEACIÓN
ECOLÓGICA CON
RESPONSABILIDAD
SOCIAL</t>
  </si>
  <si>
    <t>OBJETIVO GENERAL
Fortalecer la planeación y gestión de seguridad y salud en el trabajo, medio ambiente e infraestructura, a través,
del desarrollo de los componentes estratégicos, temáticos y medibles.</t>
  </si>
  <si>
    <t>línea 7: medio ambiente sano y seguro, dejando huella para la vida</t>
  </si>
  <si>
    <t>Componente 1:Alineación ecológica con responsabilidad social</t>
  </si>
  <si>
    <t>Componente 1: : Ingreso y desarrollo del talento humano</t>
  </si>
  <si>
    <t>Componente 2: Desarrollo del talento humano</t>
  </si>
  <si>
    <t>TOTAL</t>
  </si>
  <si>
    <t>Numero de actividades programadas medidad en  numero</t>
  </si>
  <si>
    <t>Numero de actividades programadas medidas en porcentaje</t>
  </si>
  <si>
    <t>1xcv</t>
  </si>
  <si>
    <t>Realizar la autoveluación  de los requisitos SUH,.</t>
  </si>
  <si>
    <t>Formular el plan de trabajo según el resultado de la autoevalución para iniciar el proceso de implementación para la habilitación deñ servicio</t>
  </si>
  <si>
    <t>Formular el plan de trabajo según el resultado de la autoevalución para iniciar el proceso de implementación para la habilitación del servicio de quimioterapia.</t>
  </si>
  <si>
    <t>Solicitud de visita previa  para la habilitación del servicio de quimioterapia.</t>
  </si>
  <si>
    <t>Contar con infraestructura adecuada para prestacion del servicio de quimioterapia.</t>
  </si>
  <si>
    <t>Dotar  con  los equipos biomedicos  y moviliarios  adecuada para prestacion del servicio de quimioterapia.</t>
  </si>
  <si>
    <t xml:space="preserve">Realizar la autoveluación  de los requisitos SUH, </t>
  </si>
  <si>
    <t>Formular el plan de trabajo según el resultado de la autoevalución para iniciar el proceso de implementación para la habilitación del servicio .</t>
  </si>
  <si>
    <t>Adoptar la nueva guia de practica clinica expedida por el ministerio de salud "Guía de Práctica Clínica (GPC) basada en la evidencia científica para la atención de la infección por VIH/SIDA en personas adultas, gestantes y adolescentes"</t>
  </si>
  <si>
    <t>Formular y documentar el instrumento para medir la adherencia Guía de "Práctica Clínica (GPC) basada en la evidencia científica para la atención de la infección por VIH/SIDA en personas adultas, gestantes y adolescentes"</t>
  </si>
  <si>
    <t>Aplicación del instrumento para medir la adherencia a la Guía de "Práctica Clínica (GPC) basada en la evidencia científica para la atención de la infección por VIH/SIDA en personas adultas, gestantes y adolescentes"</t>
  </si>
  <si>
    <t>Definir la ficha tecnica del indicador.</t>
  </si>
  <si>
    <t>Realizar la medición mensual del la oportunidad en la realización de la apendicectomia.</t>
  </si>
  <si>
    <t xml:space="preserve">Realizar la medición mensual del la oportunidad en la realización dentrega de resultados de laboratorio al Servicio de Urgencias </t>
  </si>
  <si>
    <t>Realizar la medición mensual del la oportunidad en la atención del paciente clasificado como Triage II</t>
  </si>
  <si>
    <t>Realizar la medición mensual del tiempo pormedio de espera para la
asignación de citas de ortopedia</t>
  </si>
  <si>
    <t>Realizar la medición mensual Tiempo promedio de espera para la
asignación de citas de Urología</t>
  </si>
  <si>
    <t>Realizar la medición mensual del Tiempo promedio de espera para la
asignación de citas de cirugía</t>
  </si>
  <si>
    <t>Realizar la medición mensual del Tiempo promedio de espera para la
asignación de citas de medicina
interna</t>
  </si>
  <si>
    <t>Realizar la medición de la oportunidad en la entrega de resultados a Hospitalización</t>
  </si>
  <si>
    <t>Realizar la medición mensual de los Análisis de Mortalidad Intrahospitalaria</t>
  </si>
  <si>
    <t>Realizar la medición mensual del Índice de infecciones intrahospitalarias</t>
  </si>
  <si>
    <t>Poner en marcha el programa para la atención PPL, según contratación</t>
  </si>
  <si>
    <t>Evaluar la rentabilidad  financiera mensual del programa para la atención PPL.</t>
  </si>
  <si>
    <t>Evaluar la rentabilidad  financiera mensual del programa para la atención de los pacientes de la EAPB Coosalud.</t>
  </si>
  <si>
    <t>Evaluar la rentabilidad  financiera mensual de los proyectos especiales ( TBC, lepra, ETS, enterritorio….)</t>
  </si>
  <si>
    <t>Poner en marcha la RIA de VIH con la EAPB Savia Salud</t>
  </si>
  <si>
    <t>poner en marcha la plataforma para la prestación de servicios en modalidad de telemedicina</t>
  </si>
  <si>
    <t>Realizar seguimiento al mejoramiento en la oportunidad de la prestación del servicio de referencia y contrareferencia.</t>
  </si>
  <si>
    <t>Gestionar la entrega de las ambulancias solicitadas a través del proyecto presentado a la SSSA, con el fin de continuar mejorando los tiempos de respuesta en la regulación de pacientes.</t>
  </si>
  <si>
    <t>Formular el convenio para la adquisición de la plataforma para prestar servicios en la modalidad de telemedicina.</t>
  </si>
  <si>
    <t>Eficiencia en el cumplimiento con el diligenciamiento  del inventario documental en los archivos de gestión</t>
  </si>
  <si>
    <t>Capacitaciones al personal en: Reglamento Interno de Archivo- Archivos de Gestión- Ventanilla Única</t>
  </si>
  <si>
    <t>Actualizar las tablas de rotación documental y cuadro de clasificación documental</t>
  </si>
  <si>
    <t>Realizar  la tablas de valoración documental.</t>
  </si>
  <si>
    <t>Implementar la política de cero papel en la ESE</t>
  </si>
  <si>
    <t>Actualización al diagnóstico de tecnología de equipos biomédicos partiendo de la matriz de evaluación tecnológica.</t>
  </si>
  <si>
    <t xml:space="preserve">Realizar estudio de mercado de tecnología biomédica para la adquisición. </t>
  </si>
  <si>
    <t xml:space="preserve">Mantenimiento preventivo equipos Biomedicos </t>
  </si>
  <si>
    <t xml:space="preserve">Control de tiempos de ejecución de mantenimiento correctivo </t>
  </si>
  <si>
    <t>días</t>
  </si>
  <si>
    <t xml:space="preserve">Calibración de equipos Biomedicos </t>
  </si>
  <si>
    <t>Actualizar la estructura del sistema de información en el manejo de la HC - como registro de enfermería, mediante el levantamiento de requerimientos y posterior desarrollo que debe ser implementado en su totalidad.</t>
  </si>
  <si>
    <t>Realizar actividades de supervisión que aporten al crecimiento y continuidad de la plataforma de transferencia de conocimiento</t>
  </si>
  <si>
    <t>Seguimiento y control a las aplicaciones que se encuentran instaladas en los equipos de computo de la ESE Hospital la María</t>
  </si>
  <si>
    <t>Expansión de servicios digitales en la nube, para facilitar operaciones dentro de la entidad ( Correo -  Cloud Backup)</t>
  </si>
  <si>
    <t>Realizar actividades de sensibilización  al publico externo sobre temas de salud con enfoque diferencial, por medio de los canales institucionales (redes sociales, carteleras, descansa pantallas, correos electrónicos)</t>
  </si>
  <si>
    <t xml:space="preserve">Realizar piezas gráficas que sensibilicen al personal y comunidad  sobre el trato digno a la población vulnerable que serán difundidas por los diferentes medios de comunicación institucionales. </t>
  </si>
  <si>
    <t>Realizar un informe del análisis de los canales  de distribución de los segmentos de clientes específicos</t>
  </si>
  <si>
    <t xml:space="preserve">Realizar capacitaciones sobre temáticas de acceso y derecho a la salud y trato digno con algunos representantes de la comunidad (Asociación de usuarios ESE Hospital y Comité de ética). </t>
  </si>
  <si>
    <t>Socializar con la comunidad del debido procedimiento que tiene una PQRSD dentro de la institución. (rondas educativas, piezas gráficas).</t>
  </si>
  <si>
    <t xml:space="preserve"> Brindar asesoría y orientación a los usuarios que tienen dificultades con el acceso a la salud.</t>
  </si>
  <si>
    <t>Realizar comités de ética en los cuales se encuentran algunos representantes de la comunidad.</t>
  </si>
  <si>
    <t xml:space="preserve">Brindar asesoría y orientación a los usuarios que tienen dificultades con el acceso a la salud. </t>
  </si>
  <si>
    <t>Realizar la autoevaluación de los estándares de acreditación - PAMEC</t>
  </si>
  <si>
    <t>Evidenciar la ejecución de las oportunidades de mejora priorizadas  en el ciclo.</t>
  </si>
  <si>
    <t>Realizar el contrato de tratamiento de los parámetros que no cumplen con la norma de las Aguas Residuales No Domesticas( ARnD) con EPM</t>
  </si>
  <si>
    <t>Implementación del Plan MES en la E.S.E, de acuerdo a la aprobación del documento enviado al Área Metropolitana del  Valle de Aburrá</t>
  </si>
  <si>
    <t>Descansa pantallas sobre el uso adecuado del agua</t>
  </si>
  <si>
    <t>Descansa pantallas sobre el uso adecuado de la energía</t>
  </si>
  <si>
    <t xml:space="preserve">Realizar el procedimiento de inducción al personal que ingresa a la E.S.E Hospital La María, independientemente de su modalidad de contratación.                         </t>
  </si>
  <si>
    <t>Realizar la evaluación anual de los estándares mínimos al SG-SST.</t>
  </si>
  <si>
    <t xml:space="preserve">Seguimiento a la ejecución del Plan Estratégico de la gestión del Talento Humano </t>
  </si>
  <si>
    <t>2.3.2.02.02.009 2.1.2.02.02.007.703 2.1.2.02.02.008.803</t>
  </si>
  <si>
    <t>Realizar la autoveluación  de los requisitos Sistema Unico de Habilitacion, para el servicio de quimioterapia.</t>
  </si>
  <si>
    <t>Evaluación de aplicación de
guía de manejo de la primera
causa de egreso hospitalario o de
morbilidad atendida</t>
  </si>
  <si>
    <t xml:space="preserve">realizar acuerdos o uniones temporales para la conformacion de la rted departamental </t>
  </si>
  <si>
    <t>LÍNEA 1: Dirección estratégica para una gestión con responsabilidad</t>
  </si>
  <si>
    <t>INDICADOR</t>
  </si>
  <si>
    <t>OBJETIVO</t>
  </si>
  <si>
    <t>ACTIVIDAD</t>
  </si>
  <si>
    <t>Institución solida</t>
  </si>
  <si>
    <t xml:space="preserve">Comprometidos con el mejoramiento continuo </t>
  </si>
  <si>
    <t>Seguimiento estratégico para la toma de decisiones</t>
  </si>
  <si>
    <t>Lograr el cumplimiento de las metas trazadas en el Plan de Desarrollo Institucional</t>
  </si>
  <si>
    <t>TOTAL LÍNEA:</t>
  </si>
  <si>
    <t>LÍNEA: 3 Gestión asistencial humanizada y equitativa</t>
  </si>
  <si>
    <t xml:space="preserve"> Hospital Líder en la atención de las patologías con mayor impacto en la salud pública,
comprometidos con la excelencia en la atención</t>
  </si>
  <si>
    <t>:Integración y alianzas para el mejoramiento en la accesibilidad y en la oportunidad en los
servicios.</t>
  </si>
  <si>
    <t>LÍNEA2: Gestión financiera y administrativa para el desarrollo sostenible</t>
  </si>
  <si>
    <t>Equilibrio y sostenibilidad con rentabilidad social y financiera</t>
  </si>
  <si>
    <t>Administración con calidad, transparencia y eficiencia para todos</t>
  </si>
  <si>
    <t>LÍNEA 4: Enfoque de servicios por la vida</t>
  </si>
  <si>
    <t>Modelo de atención integral centrado en el trato digno</t>
  </si>
  <si>
    <t>Memoria institucional</t>
  </si>
  <si>
    <t xml:space="preserve">Hacer la Identificación  del proveedor para Plataforma de Gestión Documental </t>
  </si>
  <si>
    <t>Tecnología biomédica segura para la vida</t>
  </si>
  <si>
    <t xml:space="preserve">Tecnología segura para el desarrollo de la ESE </t>
  </si>
  <si>
    <t>LÍNEA 5: Compañía, amor y humanización al servicio de todos</t>
  </si>
  <si>
    <t>Comunicación para el cambio y desarrollo social</t>
  </si>
  <si>
    <t>Atención y cuidado al usuario</t>
  </si>
  <si>
    <t>LÍNEA 6: Innovación, ciencia e investigación para la vida</t>
  </si>
  <si>
    <t>Investigación con sentido de vida y responsabilidad social</t>
  </si>
  <si>
    <t>Investigación para la formación de competencias y desarrollo profesional en salud.</t>
  </si>
  <si>
    <t>LÍNEA 7: Medio ambiente sano y seguro, dejando huella para la vida</t>
  </si>
  <si>
    <t xml:space="preserve"> Alineación ecológica con responsabilidad social</t>
  </si>
  <si>
    <t>Definir el proceso de gestión ambiental y articularlo con las diferentes áreas de la institución, a través, de mecanismos y estrategias que permitan el desarrollo de los procesos medio ambientales y la normatividad legal vigente.</t>
  </si>
  <si>
    <t>LÍNEA 8: Gestión integral del talento humano que trabaja con amor por la vida</t>
  </si>
  <si>
    <t>Ingreso y desarrollo del talento humano</t>
  </si>
  <si>
    <t xml:space="preserve"> Desarrollo del talento humano</t>
  </si>
  <si>
    <t xml:space="preserve">Mejoramiento de la productividad y la satisfacción del empleado con su trabajo y con la Institución a través de la capacitación, el bienestar, los incentivos, la seguridad y salud en el trabajo </t>
  </si>
  <si>
    <t xml:space="preserve"> Retiro del talento humano</t>
  </si>
  <si>
    <t>LINEA</t>
  </si>
  <si>
    <t xml:space="preserve">continuar con  el estudio de la estrutura y  presentarlo para  aprobación en la junta directiva  </t>
  </si>
  <si>
    <t xml:space="preserve">Socialización y sensibilziación de los procesos documentados   al lider y responsables del servicio </t>
  </si>
  <si>
    <t>PLAN OPERATIVO ANUAL DE INVERSIONES 2022
ESE HOSPITAL LA MARÍA</t>
  </si>
  <si>
    <t>Asegurar el pago oportuno de los servicios publicos para la continuidad en la prestación de los servicios</t>
  </si>
  <si>
    <t>+</t>
  </si>
  <si>
    <t>|</t>
  </si>
  <si>
    <t>Actualizar el documento del modelo de atención de la ESE Hospital La María</t>
  </si>
  <si>
    <t>Actualizar el documento del modelo de atención de la ESE Hospital La Maríaa</t>
  </si>
  <si>
    <t xml:space="preserve">Acompañamiento a los diferentes espacios de participación de la ESE Hospital La María (Asociación de Usuarios y Comité de ética)  </t>
  </si>
  <si>
    <t xml:space="preserve">Realizar el procedimiento de inducción al personal que ingresa a la E.S.E Hospital La María, independientemente de su modalidad de contratación.   </t>
  </si>
  <si>
    <t>Medir la ejecución del cronograma del plan de Bienestar Social e Incentivos</t>
  </si>
  <si>
    <t>Dirección estratégica para una gestión con responsabilidad</t>
  </si>
  <si>
    <t>Capacitación al talento humano sobre la atención intercultural</t>
  </si>
  <si>
    <t>Apoyar  las brigadas y las actividades de la SSSA en territorios alejados.</t>
  </si>
  <si>
    <t>Participación en eventos cientificos( congresos, foros y similares)</t>
  </si>
  <si>
    <t>Certificado de conferencista o de participante</t>
  </si>
  <si>
    <t xml:space="preserve">DECRIPCIÓN </t>
  </si>
  <si>
    <t>VALOR TOTAL</t>
  </si>
  <si>
    <t xml:space="preserve">DESGLOSE </t>
  </si>
  <si>
    <t>Farmacia</t>
  </si>
  <si>
    <t>Recurso humano de finaciera, tesoreria, contabilidad, presupuesto, facturación, cartera, glosas, auditorias</t>
  </si>
  <si>
    <t>Mantenimiento de infraestructura, equipos biomedicos, ascensores, aires acondicionados, entre otros mantenimientos, recurso humano administrativo, conductores, vigilancia, contratación de equipo juridico, compra de insumos, lavanderia, mensajeria,conductores,lavanderia,alimentación, servicios generales,alimentación. combustible, adecuaciones,entre otros</t>
  </si>
  <si>
    <t>contratación de servicios medicos especializados, servicios de laboratorio,Servicios de bancos de sangre, órganos y esperma, Servicios proporcionados por organizaciones gremiales, comerciales y de empleadores,Servicios quirúrgicos a pacientes hospitalizados,Servicios de alojamiento de sitios web (hosting),Servicios de centros de llamadas telefónicas (call center),Instrumentos, aparatos y accesorios para medicina y cirugía</t>
  </si>
  <si>
    <t>Recurso humano de enfermeria</t>
  </si>
  <si>
    <t>Unidad Renal</t>
  </si>
  <si>
    <t>INPEC</t>
  </si>
  <si>
    <t>Enterritorio</t>
  </si>
  <si>
    <t>Servicios para la comunidad, sociales y personales</t>
  </si>
  <si>
    <t xml:space="preserve"> Proyecto de VIH </t>
  </si>
  <si>
    <t>Asegurar la validación de las ordes de compra en el comité de compras y/o comité de contratación</t>
  </si>
  <si>
    <t>Se realizaron las dos inducciones que se programaron por mes, con los estudiantes y el personal nueva que ingreso a la E.S.E Hospital La María. De las 24 que se programaron para todo el año 2022. Para un total de 6 inducciones en el primer semestre.</t>
  </si>
  <si>
    <t>La reinducción se realiza una vez al año, a partir del mes de junio se comenzará con este proceso.</t>
  </si>
  <si>
    <t>Se realizo la aplicación de la encuesta en el mes de marzo, se esta a la espera de los resultados para la posterior intervencion</t>
  </si>
  <si>
    <t xml:space="preserve">* Se realizaron las siguientes actividades: 2 pausas activas, sensibilización, grupo focal, reunión con cartera, financiera y facturación. Día lucha contra la depresión (13 de enero), Prevención en salud mental (escuchaderos), Citación a brigadistas, cumpleaños del personal de planta. capacitación de evaluación de desempeño laboral. Para un total de 12 en el mes de enero. * Se celebran las siguientes actividades: pausa activa, trabajo en equipo. Se celebran los cumpleaños del personal. Se realizaron las siguientes capacitaciones: Construye futuro,  código violeta y código dorado, seguridad del paciente, trabajo en equipo y manejo del estrés en el mes de febrero. *Se realizan las siguientes actividades: Código dorado, reunión con cartero, 
intervención área de referencia, 5 pausas activas. Día del contador (01 de marzo), Día de la Mujer (08 de marzo), Día del Hombre (18 de marzo), cumpleaños del personal, Día del agua (22 de marzo), Día mundial del riñon (10 de marzo). Se realizaron las siguientes capacitaciones: Código fucsia, Trabajo en equipo,  Atención humanizada, Humanización en la atención, Salud Mental, Actitudes para vivir mejor, Comunicación asertiva, inteligencia emocional, Soporte Vital Avanzado, Código de integridad.
 </t>
  </si>
  <si>
    <t>* Capacitación de evaluación de desempeño laboral en el mes de enero. *Se realizaron las siguientes capacitaciones: Construye futuro,  código violeta y código dorado, seguridad del paciente, trabajo en equipo y manejo del estrés en el mes de febrero. *Se realizaron las siguientes capacitaciones: Código fucsia, Trabajo en equipo,  Atención humanizada, Humanización en la atención, Salud Mental, Actitudes para vivir mejor, Comunicación asertiva, inteligencia emocional, Soporte Vital Avanzado, Código de integridad.</t>
  </si>
  <si>
    <t>Se hace seguimiento en archivo de Excel, donde se hace el registro de las vacantes que se van generando mes ames, en este trimestre solo se genero 1 vacante en el mes de febrero</t>
  </si>
  <si>
    <t>* Se realizaron las siguientes actividades: 2 pausas activas, sensibilización, grupo focal, reunión con cartera, financiera y facturación. Día lucha contra la depresión (13 de enero), Prevención en salud mental (escuchaderos), Citación a brigadistas, cumpleaños del personal de planta. capacitación de evaluación de desempeño laboral. Para un total de 12 en el mes de enero. * Se celebran las siguientes actividades: pausa activa, trabajo en equipo. Se celebran los cumpleaños del personal. Se realizaron las siguientes capacitaciones: Construye futuro,  código violeta y código dorado, seguridad del paciente, trabajo en equipo y manejo del estrés en el mes de febrero. *Se realizan las siguientes actividades: Código dorado, reunión con cartero, 
intervención área de referencia, 5 pausas activas. Día del contador (01 de marzo), Día de la Mujer (08 de marzo), Día del Hombre (18 de marzo), cumpleaños del personal, Día del agua (22 de marzo), Día mundial del riñon (10 de marzo). Se realizaron las siguientes capacitaciones: Código fucsia, Trabajo en equipo,  Atención humanizada, Humanización en la atención, Salud Mental, Actitudes para vivir mejor, Comunicación asertiva, inteligencia emocional, Soporte Vital Avanzado, Código de integridad.</t>
  </si>
  <si>
    <t>En los meses de enero, febrero y marzo se realizaron incentivos y celebraciones de fechas especiales.</t>
  </si>
  <si>
    <t>Este indicador se mide semestralmente en las fechas estipuladas del 01 de febrero al 31 de julio y del 01 de agosto al 31 de enero del año siguiente; por ende es medido en los meses de febrero y de agosto terminado el periodo de la evaluación</t>
  </si>
  <si>
    <t>Esta actividad se realiza tres veces al año, en los meses de abril, julio y octubre</t>
  </si>
  <si>
    <t>Se realiza registro en archivo de Excel aunque es un indicador poco usual porque son  renuncias diferentes a las presentadas por jubilación y que se presentan a un periodo menor a 18 meses</t>
  </si>
  <si>
    <t xml:space="preserve">Se realizo la politica y la resolucion de aprobacion </t>
  </si>
  <si>
    <t xml:space="preserve">TOTAL EJECUCIÓN </t>
  </si>
  <si>
    <t>% EJECUCIÓN</t>
  </si>
  <si>
    <t>SEGUIMIENTO FÍSICO  POAI 1 TRIMETRES 2021</t>
  </si>
  <si>
    <t>SEGUIMIENTO FÍSICO  POAI 2 TRIMETRES 2021</t>
  </si>
  <si>
    <t>% DE AVANCE 1 SEMESTRE FISICO -PROGRAMADAS TRIMESTRE</t>
  </si>
  <si>
    <t>% DE AVANCE 1 SEMESTRE FISICO -PROGRAMADAS AÑO</t>
  </si>
  <si>
    <t>% DE AVANCE 1 SEMESTRE FINANCIERO</t>
  </si>
  <si>
    <t>SEGUIMIENTO FÍSICO  POAI 3 TRIMETRES 2021</t>
  </si>
  <si>
    <t>SEGUIMIENTO FÍSICO  POAI 4 TRIMETRES 2021</t>
  </si>
  <si>
    <t>% DE AVANCE 4 SEMESTRE FISICO -PROGRAMADAS TRIMESTRE</t>
  </si>
  <si>
    <t>% DE AVANCE4 SEMESTRE FISICO -PROGRAMADAS AÑO</t>
  </si>
  <si>
    <t>% DE AVANCE 4 SEMESTRE FINANCIERO</t>
  </si>
  <si>
    <t>TOTAL ACTIVIDADES PROGRAMADAS AÑO</t>
  </si>
  <si>
    <t>PROGRAMADAS 1 TRIMETRE</t>
  </si>
  <si>
    <t>REALIZADAS 1 TRIMETRE</t>
  </si>
  <si>
    <t xml:space="preserve">% CUMPLIMIENTO  CON RELACIÓN A LAS PROGRAMADAS AÑO </t>
  </si>
  <si>
    <t xml:space="preserve">% CON RELACIÓN A LAS PROGRAMADAS 1 TRIMESTRE </t>
  </si>
  <si>
    <t>RECURSOS EJECUTADO</t>
  </si>
  <si>
    <t>OBSERVACIÓN</t>
  </si>
  <si>
    <t>PROGRAMADAS 2TRIMETRE</t>
  </si>
  <si>
    <t>REALIZADAS 2TRIMETRE</t>
  </si>
  <si>
    <t xml:space="preserve">% CON RELACIÓN A LAS PROGRAMADAS 2 TRIMESTRE </t>
  </si>
  <si>
    <t>PROGRAMADAS 3TRIMETRE</t>
  </si>
  <si>
    <t>REALIZADAS 3TRIMETRE</t>
  </si>
  <si>
    <t xml:space="preserve">% CON RELACIÓN A LAS PROGRAMADAS 3 TRIMESTRE </t>
  </si>
  <si>
    <t>PROGRAMADAS 4TRIMETRE</t>
  </si>
  <si>
    <t>REALIZADAS 4TRIMETRE</t>
  </si>
  <si>
    <t xml:space="preserve">% CON RELACIÓN A LAS PROGRAMADAS 4 TRIMESTRE </t>
  </si>
  <si>
    <t>Componente 1</t>
  </si>
  <si>
    <t>Componente 2</t>
  </si>
  <si>
    <t>Componente 3</t>
  </si>
  <si>
    <t>Componente 4</t>
  </si>
  <si>
    <t>ACTIVIDADES PROGRAMADAS AÑO</t>
  </si>
  <si>
    <t>TOTAL CUMPLIMIENTO DE ACTIVIDADES -AÑO</t>
  </si>
  <si>
    <t>SEGUIMIENTO FINANCIERO  POAI 2021</t>
  </si>
  <si>
    <t xml:space="preserve"> RECURSOS  INICIALES ASISGNADOS</t>
  </si>
  <si>
    <t>EJECUCIÓN 1 TRIMESTRE</t>
  </si>
  <si>
    <t>EJECUCIÓN 2 TRIMESTRE</t>
  </si>
  <si>
    <t>EJECUCIÓN 3 TRIMESTRE</t>
  </si>
  <si>
    <t>EJECUCIÓN 4 TRIMESTRE</t>
  </si>
  <si>
    <t>TOTAL RECURSOS EJECUTADOS</t>
  </si>
  <si>
    <t>% TOTAL EJECUTADO</t>
  </si>
  <si>
    <t>ACTIVIDADES PROGRAMADAS  TERCER TRIMESTRE</t>
  </si>
  <si>
    <t>ACTIVIDADES EJECUTADAS TERCER TRIMESTRE</t>
  </si>
  <si>
    <t>% CUMPLIMIENTO TERCER TRIMESTRE</t>
  </si>
  <si>
    <t>TOTAL ACTIVIDADES PROGRAMADAS AL TRIMESTRES</t>
  </si>
  <si>
    <t>TOTAL EJECUTADAS  AL TERCER TRIMESTRE</t>
  </si>
  <si>
    <t>PORCENTAJE POR TRIMESTRES</t>
  </si>
  <si>
    <t>PORCENTAJE COMPARADO CON EL AÑO</t>
  </si>
  <si>
    <t>CUMPLIMIENTOS DE EJECUCIÓN EN CADA TRIMESTRE</t>
  </si>
  <si>
    <t>SEGUNDO TRIMESTRE</t>
  </si>
  <si>
    <t>TERCER TRIMESTRE  (TRAIDO DEL POAI)</t>
  </si>
  <si>
    <t>CAMBIO DE % A NUMERO</t>
  </si>
  <si>
    <t>ACTIVIDADES PROGRAMADAS  CUARTO TRIMESTRE</t>
  </si>
  <si>
    <t>ACTIVIDADES EJECUTADAS CUARTO TRIMESTRE</t>
  </si>
  <si>
    <t>% CUMPLIMIENTO CUARTO TRIMESTRE</t>
  </si>
  <si>
    <t>TOTAL ACTIVIDADES PROGRAMADAS AL ULTIMO TRIMESTRE</t>
  </si>
  <si>
    <t>TOTAL EJECUTADAS  AL CUARTO TRIMESTRE TRIMESTRE</t>
  </si>
  <si>
    <t>PLAN OPERATIVO ANUAL PLAN DE DESARROLLO 2020 -2023</t>
  </si>
  <si>
    <t>1. LÍNEA</t>
  </si>
  <si>
    <t>COMPONENTES</t>
  </si>
  <si>
    <t>META 2021</t>
  </si>
  <si>
    <t>AVANCE A 31 DE MAYO</t>
  </si>
  <si>
    <t>AVANCE A 30 DE JUNIO</t>
  </si>
  <si>
    <t>1. DIRECCIÓN ESTRATÉGICA PARA UNA GESTIÓN CON RESPONSABILIDAD</t>
  </si>
  <si>
    <t xml:space="preserve">1.1. Institución solida </t>
  </si>
  <si>
    <t xml:space="preserve">Modernización de la estructura organizacional aprobada </t>
  </si>
  <si>
    <t>Unidades funcionales con estudios multifactoriales de mercado</t>
  </si>
  <si>
    <t xml:space="preserve">Análisis de mercado para unidades de negocio </t>
  </si>
  <si>
    <t xml:space="preserve">1.2.  Comprometidos con el mejoramiento continuo </t>
  </si>
  <si>
    <t>&gt;1.47</t>
  </si>
  <si>
    <t>Formulación de la política de administración del riesgo</t>
  </si>
  <si>
    <t>1.3.  Seguimiento estratégico para la toma de decisiones.</t>
  </si>
  <si>
    <t>Cumplimiento del Plan de Desarrollo Institucional</t>
  </si>
  <si>
    <t>Actividades de socialización del Plan de Desarrollo</t>
  </si>
  <si>
    <t>Seguimiento a las metas de Plan de Desarrollo</t>
  </si>
  <si>
    <t>2. LÍNEA</t>
  </si>
  <si>
    <t>2. GESTIÓN FINANCIERA Y ADMINISTRATIVA PARA EL DESARROLLO SOSTENIBLE</t>
  </si>
  <si>
    <t xml:space="preserve">2.1. Equilibrio y sostenibilidad con rentabilidad social y financiera </t>
  </si>
  <si>
    <r>
      <rPr>
        <sz val="11"/>
        <rFont val="Calibri"/>
        <family val="2"/>
      </rPr>
      <t>≥</t>
    </r>
    <r>
      <rPr>
        <sz val="11"/>
        <rFont val="Arial"/>
        <family val="2"/>
      </rPr>
      <t>0</t>
    </r>
  </si>
  <si>
    <t>Evolución del gasto por unidad de valor relativo producida</t>
  </si>
  <si>
    <r>
      <rPr>
        <sz val="11"/>
        <rFont val="Calibri"/>
        <family val="2"/>
      </rPr>
      <t>≥</t>
    </r>
    <r>
      <rPr>
        <sz val="11"/>
        <rFont val="Arial"/>
        <family val="2"/>
      </rPr>
      <t>0,97</t>
    </r>
  </si>
  <si>
    <t>Deuda menor a 30 días por concepto de salarios a personal</t>
  </si>
  <si>
    <t>Equilibrio presupuestal con recaudo</t>
  </si>
  <si>
    <t>≥1,16</t>
  </si>
  <si>
    <t>Radicación oportuna de facturas.</t>
  </si>
  <si>
    <t>Rotación de cartera en número de días posterior al reconocimiento de la deuda.</t>
  </si>
  <si>
    <t>69.7 días</t>
  </si>
  <si>
    <t xml:space="preserve">69.7 </t>
  </si>
  <si>
    <t>Respuesta oportuna de glosa inicial de servicios</t>
  </si>
  <si>
    <t>Variación de la facturación semestral.</t>
  </si>
  <si>
    <t xml:space="preserve">Modelo de costos empresarial TDABC </t>
  </si>
  <si>
    <t xml:space="preserve">Costear productos ofertados en la institución </t>
  </si>
  <si>
    <t>Equilibrio presupuestal con reconocimiento</t>
  </si>
  <si>
    <t>≥1,3</t>
  </si>
  <si>
    <t>Equilibrio presupuestal con reconocimiento (Sin CXC y CXP)</t>
  </si>
  <si>
    <t xml:space="preserve">Ejecución presupuestal </t>
  </si>
  <si>
    <t>2.2.  Administración con calidad, transparencia y eficiencia para todos</t>
  </si>
  <si>
    <t>Proporción de medicamentos y material médico quirúrgico adquiridos mediante compras conjuntas, cooperativas de empresas sociales del estado y/o de mecanismos electrónicos</t>
  </si>
  <si>
    <t>Cumplimiento del plan anual de adquisiciones</t>
  </si>
  <si>
    <t>&gt;80%</t>
  </si>
  <si>
    <t>≥5%</t>
  </si>
  <si>
    <t xml:space="preserve">Plan del mantenimiento hospitalario integral aprobado </t>
  </si>
  <si>
    <t>Actualización del manual de contratación</t>
  </si>
  <si>
    <t xml:space="preserve">Cumplimiento de los planes de mejoramiento. </t>
  </si>
  <si>
    <t>Contratación y ordenes de compras, evaluadas por comité de contratación.</t>
  </si>
  <si>
    <t xml:space="preserve">Mantener las compra de medicamentos y material médico quirúrgico a través de plataformas </t>
  </si>
  <si>
    <t>Oportunidad en el reporte de los informes obligatorios a la Supersalud</t>
  </si>
  <si>
    <t>Oportunidad en el reporte de los informes obligatorios e la Resolución 2193 de 2004</t>
  </si>
  <si>
    <t xml:space="preserve">Seguimiento a la ejecución de los recursos de los proyectos aprobados.  </t>
  </si>
  <si>
    <t>3. LÍNEA</t>
  </si>
  <si>
    <t>3. GESTIÓN ASISTENCIAL HUMANIZADA Y EQUITATIVA</t>
  </si>
  <si>
    <t>3.1. Hospital Líder en la atención de las patologías con mayor impacto en la salud pública, comprometidos con la excelencia en la atención</t>
  </si>
  <si>
    <t>Servicios nuevos habilitados</t>
  </si>
  <si>
    <t xml:space="preserve">Proporción de Adopción y socialización de las principales Guías de manejo médico </t>
  </si>
  <si>
    <t xml:space="preserve">Cumplimiento de proyectos especiales </t>
  </si>
  <si>
    <t>Servicio de hemofilia habilitando y funcionando</t>
  </si>
  <si>
    <t>Servicio de hemodiálisis habilitando y funcionando</t>
  </si>
  <si>
    <t>Servicio de cirugía oncológica habilitado y funcionando</t>
  </si>
  <si>
    <t>Servicio de reumatología habilitado y funcionando</t>
  </si>
  <si>
    <t>Evaluación de aplicación de guía de manejo de la primera causa de egreso hospitalario o de morbilidad atendida</t>
  </si>
  <si>
    <t xml:space="preserve">Índice de infecciones intrahospitalarias </t>
  </si>
  <si>
    <t>1.4%</t>
  </si>
  <si>
    <t>Tiempo promedio de espera para la asignación de citas de medicina interna</t>
  </si>
  <si>
    <t>9.57 días</t>
  </si>
  <si>
    <t>Tiempo promedio de espera para la asignación de citas de cirugía</t>
  </si>
  <si>
    <t>10 días</t>
  </si>
  <si>
    <t>Tiempo promedio de espera para la asignación de citas de Urología</t>
  </si>
  <si>
    <t>12 días</t>
  </si>
  <si>
    <t>Tiempo promedio de espera para la asignación de citas de ortopedia</t>
  </si>
  <si>
    <t>15 días</t>
  </si>
  <si>
    <t xml:space="preserve">Tiempo promedio de espera para la atención del paciente clasificado como Triage II </t>
  </si>
  <si>
    <t>21 minutos</t>
  </si>
  <si>
    <t xml:space="preserve">Oportunidad en la entrega de resultados a Hospitalización </t>
  </si>
  <si>
    <t>Oportunidad en la realización de apendicetomía</t>
  </si>
  <si>
    <t>Oportunidad en la atención específica de pacientes con diagnostico al egreso de infarto Agudo de miocardio (IAM</t>
  </si>
  <si>
    <t xml:space="preserve">Cumplimiento de los planes de mejora derivados de los análisis de eventos </t>
  </si>
  <si>
    <t xml:space="preserve">Pruebas rápidas de VIH realizadas a la población objeto </t>
  </si>
  <si>
    <t>3.2. Integración y alianzas para el mejoramiento en la accesibilidad y en la oportunidad en los servicios.</t>
  </si>
  <si>
    <t>Aumento en el numero de pacientes referidos por la red.</t>
  </si>
  <si>
    <t>&gt;5%</t>
  </si>
  <si>
    <t>Aumento en la accesibilidad a los servicios de consulta externa por la apertura de servicios en modalidad telesalud</t>
  </si>
  <si>
    <t xml:space="preserve">Tiempos de respuesta en los procesos de referencia. </t>
  </si>
  <si>
    <t>5 días</t>
  </si>
  <si>
    <t>4. LÍNEA</t>
  </si>
  <si>
    <t>4. ENFOQUE DE SERVICIOS POR LA VIDA</t>
  </si>
  <si>
    <t>4.1. Modelo de atención integral centrado en el trato digno.</t>
  </si>
  <si>
    <t>Formulación del modelo de atención</t>
  </si>
  <si>
    <t>4.2. Memoria institucional.</t>
  </si>
  <si>
    <t>&gt;70%</t>
  </si>
  <si>
    <t>4.3. Tecnología biomédica segura para la vida.</t>
  </si>
  <si>
    <t>&gt;90%</t>
  </si>
  <si>
    <t>&lt;3%</t>
  </si>
  <si>
    <t>8 días</t>
  </si>
  <si>
    <t>Cumplimiento de cronograma de calibración de equipos biomédicos. (miden, cuentan y pesan)</t>
  </si>
  <si>
    <t xml:space="preserve">4.4. Tecnología segura para el desarrollo de la ESE </t>
  </si>
  <si>
    <t>Índice de satisfacción del cliente interno con
relación a las plataformas y herramientas digitales</t>
  </si>
  <si>
    <t>Índice de satisfacción del cliente externo en
relación a la experiencia digital corporativa</t>
  </si>
  <si>
    <t>&gt;75%</t>
  </si>
  <si>
    <t>DATACENTER con Dotación Tecnológica</t>
  </si>
  <si>
    <t>5. LÍNEA</t>
  </si>
  <si>
    <t>5. COMPAÑÍA, AMOR Y HUMANIZACIÓN AL SERVICIO DE TODOS</t>
  </si>
  <si>
    <t>5.1. Comunicación para el cambio y desarrollo social</t>
  </si>
  <si>
    <t>Índice de variación de la percepción positiva de la imagen y marca de la ESE Hospital La
María</t>
  </si>
  <si>
    <t>≥1</t>
  </si>
  <si>
    <t>Implementación de medios de comunicación que permitan la inclusión de la población vulnerable.</t>
  </si>
  <si>
    <t>Desarrollo de un canal de comunicación interna que permita la interacción inmediata de los colaboradores de la E.S.E.</t>
  </si>
  <si>
    <t>Plan de marketing digital elaborado y aprobado</t>
  </si>
  <si>
    <t>5.2.  Atención y cuidado al usuario.</t>
  </si>
  <si>
    <t>Satisfacción del Usuario Externo.</t>
  </si>
  <si>
    <t>Respuesta oportuna de las PQRSD de los
usuarios</t>
  </si>
  <si>
    <t>Ejecución del Plan de la Política de Participación:</t>
  </si>
  <si>
    <t>Gestión y respuesta de PQRSD</t>
  </si>
  <si>
    <t>6. LÍNEA</t>
  </si>
  <si>
    <t>6. INNOVACIÓN, CIENCIA E INVESTIGACIÓN PARA LA VIDA</t>
  </si>
  <si>
    <t>6.1. Investigación con sentido de vida y responsabilidad social</t>
  </si>
  <si>
    <t>Suscripción de Convenios de Cooperación para la investigación</t>
  </si>
  <si>
    <t>Publicación de artículos en revistas indexadas</t>
  </si>
  <si>
    <t>6.2. Investigación para la formación de competencias y desarrollo profesional en salud.</t>
  </si>
  <si>
    <t>Avances en el proceso de acreditación</t>
  </si>
  <si>
    <t>Ejecutar las oportunidades de mejora en cada ciclo</t>
  </si>
  <si>
    <t>7. LÍNEA</t>
  </si>
  <si>
    <t>7. MEDIO AMBIENTE SANO Y SEGURO, DEJANDO HUELLA PARA LA VIDA</t>
  </si>
  <si>
    <t xml:space="preserve">7.1. Alineación ecológica con responsabilidad social. </t>
  </si>
  <si>
    <t>Avances en la Implementación de acciones del Plan de Gestión Ambiental</t>
  </si>
  <si>
    <t>Formular el PLAN – Movilidad Empresarial Sostenible (MES)</t>
  </si>
  <si>
    <t>Plan de Mantenimiento ambiental y del componente arbóreo</t>
  </si>
  <si>
    <t>8. LÍNEA</t>
  </si>
  <si>
    <t>8. GESTIÓN INTEGRAL DEL TALENTO HUMANO QUE TRABAJA CON AMOR POR LA VIDA</t>
  </si>
  <si>
    <t>8.1.  Ingreso y desarrollo del talento humano.</t>
  </si>
  <si>
    <t>Conocimiento logrado con la inducción</t>
  </si>
  <si>
    <t>Conocimiento logrado con la reinducción</t>
  </si>
  <si>
    <t>8.2. Desarrollo del talento humano</t>
  </si>
  <si>
    <t>Índice de satisfacción del cliente interno</t>
  </si>
  <si>
    <t xml:space="preserve">Cumplimiento con el Plan de Bienestar Social </t>
  </si>
  <si>
    <t>Cumplimiento con el Plan de Estímulos e Incentivos</t>
  </si>
  <si>
    <t>Cumplimiento con el Plan de Evaluación de Desempeño</t>
  </si>
  <si>
    <t>8.3. Retiro del talento humano</t>
  </si>
  <si>
    <t>Variación de la deserción del personal de apoyo administrativo y misional</t>
  </si>
  <si>
    <t>Satisfacción del empleado jubilado y su familia</t>
  </si>
  <si>
    <t>Formulación de la Política de Gestión del
Conocimiento</t>
  </si>
  <si>
    <t>ACTIVIDADES PROGRAMADAS  PRIMER  TRIMESTRE</t>
  </si>
  <si>
    <t>ACTIVIDADES EJECUTADAS PRIMER TRIMESTRE</t>
  </si>
  <si>
    <t>% CUMPLIMIENTO PRIMER TRIMESTRE</t>
  </si>
  <si>
    <t>ACTIVIDADES PROGRAMADAS  SEGUNDO  TRIMESTRE</t>
  </si>
  <si>
    <t>ACTIVIDADES EJECUTADAS SEGUNDO TRIMESTRE</t>
  </si>
  <si>
    <t>% CUMPLIMIENTO SEGUNDO  TRIMESTRE</t>
  </si>
  <si>
    <t>TOTAL ACTIVIDADES PROGRADAS AÑO</t>
  </si>
  <si>
    <t>TOTAL ACTIVIDADES EJECUTADAS  AÑO</t>
  </si>
  <si>
    <t>LINEA 1</t>
  </si>
  <si>
    <t>Ejecutadas</t>
  </si>
  <si>
    <t>Número de actividades  programadas medidas en numero</t>
  </si>
  <si>
    <t>LINEA 2</t>
  </si>
  <si>
    <t>LINEA 3</t>
  </si>
  <si>
    <t>LINEA 4</t>
  </si>
  <si>
    <t>LINEA 5</t>
  </si>
  <si>
    <t>LINEA 6</t>
  </si>
  <si>
    <t>LINEA 7</t>
  </si>
  <si>
    <t>LINEA 8</t>
  </si>
  <si>
    <t>SEGUIMIENTO FÍSICO  POAI 1 TRIMETRES 2022</t>
  </si>
  <si>
    <t>SEGUIMIENTO FÍSICO  POAI 2 TRIMETRES 2022</t>
  </si>
  <si>
    <t>SEGUIMIENTO FÍSICO  POAI 3 TRIMETRES 2022</t>
  </si>
  <si>
    <t>SEGUIMIENTO FÍSICO  POAI 4 TRIMETRES 2022</t>
  </si>
  <si>
    <t>hay una medición de días dentro de los porcentaje</t>
  </si>
  <si>
    <t>PROMEDIO TOTAL LINEAS</t>
  </si>
  <si>
    <t xml:space="preserve">PROMEDIO </t>
  </si>
  <si>
    <t>% DE CUMPLIMIENTO</t>
  </si>
  <si>
    <t>FORMA DE MEDICIÓN</t>
  </si>
  <si>
    <t>Se cuenta con carpeta de maximos y minimos actualizados mensualemnte en la ruta equipo FARMACIA17/Servicio Farmaceutico/1. Selección/ Maximos y Minimos</t>
  </si>
  <si>
    <t>Se adjudica por parte de la Gerencia y apoyo tecnico desde la Direccion del Servicio Farmaceutico, en bien se cierran los pedidos cotizados. Soporte plataforma OKA</t>
  </si>
  <si>
    <t>PROGRAMADAS 2 TRIMETRE</t>
  </si>
  <si>
    <t>REALIZADAS 2 TRIMETRE</t>
  </si>
  <si>
    <t>Ejecutadas 2trimestre</t>
  </si>
  <si>
    <t>Ejecutadas 2 trimestre PORCENTAJE</t>
  </si>
  <si>
    <t>Ejecutadas 2 trimestre NUMERO</t>
  </si>
  <si>
    <t>% Cumplimiento</t>
  </si>
  <si>
    <t xml:space="preserve"> Total Ejecutadas 2 trimestre</t>
  </si>
  <si>
    <t>Total Ejecutadas 2 trimestre</t>
  </si>
  <si>
    <t xml:space="preserve">Total Número de actividades  programadas medidas  </t>
  </si>
  <si>
    <t>observación</t>
  </si>
  <si>
    <t>hay una actividad media en días y se sumo a las de porcentaje</t>
  </si>
  <si>
    <t>% CUMPLIMIENTO SEGUNDO TRIMESTRE</t>
  </si>
  <si>
    <t>TOTAL ACTIVIDADES PROGRAMADAS SEGUNDO TRIMESTRE</t>
  </si>
  <si>
    <t>ACTIVIDADES EJECUTADAS PRIMER   TRIMESTRE</t>
  </si>
  <si>
    <t>% CUMPLIMIENTO PRIMER  TRIMESTRE</t>
  </si>
  <si>
    <t>TOTAL EJECUTADAS  AL SEGUNDO TRIMESTRE</t>
  </si>
  <si>
    <t>ACTIVIDADES PROGRAMADAS  TERCER  TRIMESTRE</t>
  </si>
  <si>
    <t>ACTIVIDADES EJECUTADAS TERCER  TRIMESTRE</t>
  </si>
  <si>
    <t>TOTAL ACTIVIDADES PROGRAMADAS CUERTO  TRIMESTRE</t>
  </si>
  <si>
    <t>% CUMPLIMIENTO CUARTO  TRIMESTRE</t>
  </si>
  <si>
    <t>% CUMPLIMIENTO AÑO</t>
  </si>
  <si>
    <t>ACTIVIDADES PROGRAMADAS  PRIEMER TRIMESTRE</t>
  </si>
  <si>
    <t xml:space="preserve">Actualizar y adoptar el  manual de funciones acorde a la estructura funcional </t>
  </si>
  <si>
    <t>PROGRAMADAS 3 TRIMETRE</t>
  </si>
  <si>
    <t>REALIZADAS 3 TRIMETRE</t>
  </si>
  <si>
    <t>Ejecutadas 3 trimestre NUMERO</t>
  </si>
  <si>
    <t>Ejecutadas 3 trimestre PORCENTAJE</t>
  </si>
  <si>
    <t>Total Ejecutadas 3 trimestre</t>
  </si>
  <si>
    <t>Ejecutadas 4 trimestre NUMERO</t>
  </si>
  <si>
    <t>Ejecutadas 4 trimestre PORCENTAJE</t>
  </si>
  <si>
    <t>Total Ejecutadas 4 trimestre</t>
  </si>
  <si>
    <t>Total Ejecutadas 4trimestre</t>
  </si>
  <si>
    <t>TOTAL ACTIVIDADES PROGRAMADAS CUARTO  TRIMESTRE</t>
  </si>
  <si>
    <t>% CUMPLIMIENTOVIGENCIA 2022</t>
  </si>
  <si>
    <t>EJECUCIÓN POAI 2022</t>
  </si>
  <si>
    <t>TOTAL CUMPLIMIENTO DE ACTIVIDADES -VIGENCIA  2022</t>
  </si>
  <si>
    <t>ACTIVIDADES PROGRAMADAS VIGENCIA 2022</t>
  </si>
  <si>
    <t>RESUMEN DE EJECUCIÓN FÍSICA DEL POAI 2022 DE LA ESE HOSPITAL LA MARÍA.</t>
  </si>
  <si>
    <t>LINEAS PLAN DE DESARROLLO</t>
  </si>
  <si>
    <t>TOTAL AÑO EJECUTADAS</t>
  </si>
  <si>
    <t>TOTAL PROGRAMADAS</t>
  </si>
  <si>
    <t>PORCENTAJE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</si>
</sst>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240A]\ * #,##0_-;\-[$$-240A]\ * #,##0_-;_-[$$-240A]\ * &quot;-&quot;??_-;_-@_-"/>
    <numFmt numFmtId="165" formatCode="_-* #,##0.00_-;\-* #,##0.00_-;_-* &quot;-&quot;_-;_-@_-"/>
    <numFmt numFmtId="166" formatCode="_-&quot;$&quot;\ * #,##0_-;\-&quot;$&quot;\ * #,##0_-;_-&quot;$&quot;\ * &quot;-&quot;??_-;_-@_-"/>
    <numFmt numFmtId="167" formatCode="_-&quot;$&quot;\ * #,##0_-;\-&quot;$&quot;\ * #,##0_-;_-&quot;$&quot;\ * &quot;-&quot;?_-;_-@_-"/>
    <numFmt numFmtId="168" formatCode="0.0"/>
    <numFmt numFmtId="169" formatCode="0.0%"/>
  </numFmts>
  <fonts count="5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Arial"/>
      <family val="2"/>
    </font>
    <font>
      <b/>
      <sz val="11"/>
      <color rgb="FF000000"/>
      <name val="Arial"/>
      <family val="2"/>
    </font>
    <font>
      <b/>
      <sz val="14"/>
      <color theme="1"/>
      <name val="Arial"/>
      <family val="2"/>
    </font>
    <font>
      <b/>
      <sz val="12"/>
      <color theme="1"/>
      <name val="Arial"/>
      <family val="2"/>
    </font>
    <font>
      <b/>
      <sz val="11"/>
      <color theme="1"/>
      <name val="Arial"/>
      <family val="2"/>
    </font>
    <font>
      <sz val="11"/>
      <name val="Arial"/>
      <family val="2"/>
    </font>
    <font>
      <sz val="11"/>
      <color rgb="FF000000"/>
      <name val="Arial"/>
      <family val="2"/>
    </font>
    <font>
      <sz val="11"/>
      <name val="Arial"/>
      <family val="2"/>
    </font>
    <font>
      <sz val="11"/>
      <color theme="1"/>
      <name val="Arial"/>
      <family val="2"/>
    </font>
    <font>
      <sz val="11"/>
      <color theme="1"/>
      <name val="Calibri"/>
      <family val="2"/>
      <scheme val="minor"/>
    </font>
    <font>
      <b/>
      <sz val="11"/>
      <name val="Arial"/>
      <family val="2"/>
    </font>
    <font>
      <b/>
      <sz val="18"/>
      <color indexed="16"/>
      <name val="Arial"/>
      <family val="2"/>
    </font>
    <font>
      <sz val="11"/>
      <color theme="0"/>
      <name val="Calibri"/>
      <family val="2"/>
      <scheme val="minor"/>
    </font>
    <font>
      <b/>
      <sz val="11"/>
      <color rgb="FF000000"/>
      <name val="Calibri"/>
      <family val="2"/>
      <scheme val="minor"/>
    </font>
    <font>
      <sz val="11"/>
      <color rgb="FF000000"/>
      <name val="Calibri"/>
      <family val="2"/>
      <scheme val="minor"/>
    </font>
    <font>
      <sz val="12"/>
      <color rgb="FF000000"/>
      <name val="Arial"/>
      <family val="2"/>
    </font>
    <font>
      <b/>
      <sz val="12"/>
      <color rgb="FFFF0000"/>
      <name val="Arial"/>
      <family val="2"/>
    </font>
    <font>
      <b/>
      <sz val="12"/>
      <color rgb="FF000000"/>
      <name val="Arial"/>
      <family val="2"/>
    </font>
    <font>
      <b/>
      <sz val="20"/>
      <color theme="1"/>
      <name val="Arial"/>
      <family val="2"/>
    </font>
    <font>
      <u/>
      <sz val="11"/>
      <color theme="1"/>
      <name val="Arial"/>
      <family val="2"/>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sz val="8"/>
      <name val="Calibri"/>
      <family val="2"/>
      <scheme val="minor"/>
    </font>
    <font>
      <sz val="14"/>
      <color theme="1"/>
      <name val="Arial"/>
      <family val="2"/>
    </font>
    <font>
      <sz val="16"/>
      <color theme="1"/>
      <name val="Arial"/>
      <family val="2"/>
    </font>
    <font>
      <b/>
      <sz val="14"/>
      <color indexed="81"/>
      <name val="Tahoma"/>
      <family val="2"/>
    </font>
    <font>
      <sz val="14"/>
      <color indexed="81"/>
      <name val="Tahoma"/>
      <family val="2"/>
    </font>
    <font>
      <sz val="16"/>
      <color indexed="81"/>
      <name val="Tahoma"/>
      <family val="2"/>
    </font>
    <font>
      <b/>
      <sz val="12"/>
      <color theme="1"/>
      <name val="Calibri"/>
      <family val="2"/>
      <scheme val="minor"/>
    </font>
    <font>
      <sz val="12"/>
      <color theme="1"/>
      <name val="Calibri"/>
      <family val="2"/>
      <scheme val="minor"/>
    </font>
    <font>
      <sz val="11"/>
      <color theme="1"/>
      <name val="Calibri"/>
      <family val="2"/>
      <scheme val="minor"/>
    </font>
    <font>
      <sz val="9"/>
      <color rgb="FF000000"/>
      <name val="Tahoma"/>
      <family val="2"/>
    </font>
    <font>
      <sz val="12"/>
      <color rgb="FFFF0000"/>
      <name val="Arial"/>
      <family val="2"/>
    </font>
    <font>
      <sz val="11"/>
      <color rgb="FFFF0000"/>
      <name val="Calibri"/>
      <family val="2"/>
      <scheme val="minor"/>
    </font>
    <font>
      <b/>
      <sz val="9"/>
      <color indexed="81"/>
      <name val="Tahoma"/>
      <charset val="1"/>
    </font>
    <font>
      <sz val="9"/>
      <color indexed="81"/>
      <name val="Tahoma"/>
      <charset val="1"/>
    </font>
    <font>
      <sz val="11"/>
      <name val="Calibri"/>
      <family val="2"/>
    </font>
    <font>
      <sz val="10"/>
      <name val="Arial"/>
      <family val="2"/>
    </font>
  </fonts>
  <fills count="37">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4" tint="0.3998535111545152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2F5496"/>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rgb="FF92D050"/>
        <bgColor indexed="64"/>
      </patternFill>
    </fill>
    <fill>
      <patternFill patternType="solid">
        <fgColor rgb="FF92D050"/>
        <bgColor rgb="FF000000"/>
      </patternFill>
    </fill>
    <fill>
      <patternFill patternType="solid">
        <fgColor rgb="FF00B0F0"/>
        <bgColor indexed="64"/>
      </patternFill>
    </fill>
    <fill>
      <patternFill patternType="solid">
        <fgColor rgb="FF00B0F0"/>
        <bgColor rgb="FF000000"/>
      </patternFill>
    </fill>
    <fill>
      <patternFill patternType="solid">
        <fgColor rgb="FF00B050"/>
        <bgColor rgb="FF000000"/>
      </patternFill>
    </fill>
    <fill>
      <patternFill patternType="solid">
        <fgColor theme="7"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8" tint="0.79998168889431442"/>
        <bgColor indexed="64"/>
      </patternFill>
    </fill>
    <fill>
      <patternFill patternType="solid">
        <fgColor theme="2"/>
        <bgColor indexed="64"/>
      </patternFill>
    </fill>
    <fill>
      <patternFill patternType="solid">
        <fgColor theme="4"/>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249977111117893"/>
        <bgColor rgb="FF000000"/>
      </patternFill>
    </fill>
    <fill>
      <patternFill patternType="solid">
        <fgColor theme="8" tint="-0.249977111117893"/>
        <bgColor indexed="64"/>
      </patternFill>
    </fill>
    <fill>
      <patternFill patternType="solid">
        <fgColor theme="9" tint="0.39997558519241921"/>
        <bgColor rgb="FF000000"/>
      </patternFill>
    </fill>
    <fill>
      <patternFill patternType="solid">
        <fgColor theme="4"/>
        <bgColor rgb="FF000000"/>
      </patternFill>
    </fill>
    <fill>
      <patternFill patternType="solid">
        <fgColor theme="8" tint="0.39997558519241921"/>
        <bgColor rgb="FF000000"/>
      </patternFill>
    </fill>
    <fill>
      <patternFill patternType="solid">
        <fgColor rgb="FFC00000"/>
        <bgColor indexed="64"/>
      </patternFill>
    </fill>
    <fill>
      <patternFill patternType="solid">
        <fgColor rgb="FF7030A0"/>
        <bgColor indexed="64"/>
      </patternFill>
    </fill>
    <fill>
      <patternFill patternType="solid">
        <fgColor theme="6"/>
        <bgColor indexed="64"/>
      </patternFill>
    </fill>
    <fill>
      <patternFill patternType="solid">
        <fgColor theme="0"/>
        <bgColor rgb="FF000000"/>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medium">
        <color rgb="FFCCCCCC"/>
      </top>
      <bottom style="thick">
        <color rgb="FF000000"/>
      </bottom>
      <diagonal/>
    </border>
    <border>
      <left style="medium">
        <color rgb="FFCCCCCC"/>
      </left>
      <right style="thick">
        <color rgb="FF000000"/>
      </right>
      <top style="medium">
        <color rgb="FFCCCCCC"/>
      </top>
      <bottom style="thick">
        <color rgb="FF000000"/>
      </bottom>
      <diagonal/>
    </border>
    <border>
      <left/>
      <right style="thick">
        <color rgb="FF000000"/>
      </right>
      <top style="medium">
        <color rgb="FFCCCCCC"/>
      </top>
      <bottom style="thick">
        <color rgb="FF000000"/>
      </bottom>
      <diagonal/>
    </border>
    <border>
      <left style="medium">
        <color auto="1"/>
      </left>
      <right/>
      <top/>
      <bottom/>
      <diagonal/>
    </border>
    <border>
      <left style="thin">
        <color auto="1"/>
      </left>
      <right/>
      <top/>
      <bottom/>
      <diagonal/>
    </border>
    <border>
      <left style="medium">
        <color indexed="64"/>
      </left>
      <right/>
      <top/>
      <bottom style="medium">
        <color indexed="64"/>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top style="medium">
        <color auto="1"/>
      </top>
      <bottom/>
      <diagonal/>
    </border>
    <border>
      <left style="thin">
        <color auto="1"/>
      </left>
      <right/>
      <top/>
      <bottom style="medium">
        <color indexed="64"/>
      </bottom>
      <diagonal/>
    </border>
    <border>
      <left style="medium">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right/>
      <top/>
      <bottom style="medium">
        <color auto="1"/>
      </bottom>
      <diagonal/>
    </border>
    <border>
      <left/>
      <right/>
      <top style="medium">
        <color auto="1"/>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diagonal/>
    </border>
    <border>
      <left/>
      <right style="medium">
        <color auto="1"/>
      </right>
      <top style="thin">
        <color auto="1"/>
      </top>
      <bottom style="thin">
        <color auto="1"/>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medium">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style="medium">
        <color auto="1"/>
      </top>
      <bottom/>
      <diagonal/>
    </border>
    <border>
      <left/>
      <right style="thin">
        <color auto="1"/>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42">
    <xf numFmtId="0" fontId="0" fillId="0" borderId="0"/>
    <xf numFmtId="42" fontId="19" fillId="0" borderId="0" applyFont="0" applyFill="0" applyBorder="0" applyAlignment="0" applyProtection="0"/>
    <xf numFmtId="9" fontId="32" fillId="0" borderId="0" applyFont="0" applyFill="0" applyBorder="0" applyAlignment="0" applyProtection="0"/>
    <xf numFmtId="42" fontId="7"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2" fillId="0" borderId="0"/>
    <xf numFmtId="9" fontId="32" fillId="0" borderId="0" applyFont="0" applyFill="0" applyBorder="0" applyAlignment="0" applyProtection="0"/>
    <xf numFmtId="42" fontId="6"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42"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0" fontId="10" fillId="0" borderId="0"/>
    <xf numFmtId="0" fontId="49" fillId="0" borderId="0"/>
    <xf numFmtId="0" fontId="3" fillId="0" borderId="0"/>
    <xf numFmtId="42"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1187">
    <xf numFmtId="0" fontId="0" fillId="0" borderId="0" xfId="0"/>
    <xf numFmtId="0" fontId="10" fillId="0" borderId="0" xfId="0" applyFont="1" applyAlignment="1">
      <alignment horizontal="center" vertical="center"/>
    </xf>
    <xf numFmtId="0" fontId="10" fillId="0" borderId="0" xfId="0" applyFont="1"/>
    <xf numFmtId="0" fontId="10" fillId="0" borderId="0" xfId="0" applyFont="1" applyAlignment="1">
      <alignment horizontal="center" vertical="center" wrapText="1"/>
    </xf>
    <xf numFmtId="42" fontId="14" fillId="4" borderId="11" xfId="1" applyFont="1" applyFill="1" applyBorder="1" applyAlignment="1">
      <alignment horizontal="center" vertical="center" wrapText="1"/>
    </xf>
    <xf numFmtId="0" fontId="10" fillId="0" borderId="0" xfId="0" applyFont="1" applyAlignment="1">
      <alignment horizontal="justify" vertical="center" wrapText="1"/>
    </xf>
    <xf numFmtId="0" fontId="13" fillId="4" borderId="11" xfId="0" applyFont="1" applyFill="1" applyBorder="1" applyAlignment="1">
      <alignment horizontal="center" vertical="center" wrapText="1"/>
    </xf>
    <xf numFmtId="42" fontId="10" fillId="0" borderId="0" xfId="1" applyFont="1" applyAlignment="1">
      <alignment horizontal="center" vertical="center" wrapText="1"/>
    </xf>
    <xf numFmtId="42" fontId="10" fillId="0" borderId="0" xfId="1" applyFont="1" applyFill="1" applyAlignment="1">
      <alignment horizontal="center" vertical="center" wrapText="1"/>
    </xf>
    <xf numFmtId="0" fontId="13" fillId="0" borderId="0" xfId="0" applyFont="1" applyAlignment="1">
      <alignment horizontal="center" vertical="center"/>
    </xf>
    <xf numFmtId="0" fontId="13" fillId="0" borderId="0" xfId="0" applyFont="1"/>
    <xf numFmtId="42" fontId="10" fillId="6" borderId="0" xfId="1" applyFont="1" applyFill="1" applyAlignment="1">
      <alignment horizontal="center" vertical="center" wrapText="1"/>
    </xf>
    <xf numFmtId="3" fontId="21" fillId="0" borderId="13" xfId="0" applyNumberFormat="1" applyFont="1" applyBorder="1" applyAlignment="1">
      <alignment horizontal="right" vertical="center"/>
    </xf>
    <xf numFmtId="42" fontId="10" fillId="0" borderId="0" xfId="0" applyNumberFormat="1" applyFont="1" applyAlignment="1">
      <alignment horizontal="center" vertical="center" wrapText="1"/>
    </xf>
    <xf numFmtId="3" fontId="10" fillId="0" borderId="0" xfId="0" applyNumberFormat="1" applyFont="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8" fillId="5" borderId="33" xfId="0" applyFont="1" applyFill="1" applyBorder="1" applyAlignment="1">
      <alignment vertical="center" wrapText="1"/>
    </xf>
    <xf numFmtId="0" fontId="8" fillId="7" borderId="33" xfId="0" applyFont="1" applyFill="1" applyBorder="1" applyAlignment="1">
      <alignment vertical="center" wrapText="1"/>
    </xf>
    <xf numFmtId="0" fontId="22" fillId="8" borderId="33" xfId="0" applyFont="1" applyFill="1" applyBorder="1" applyAlignment="1">
      <alignment vertical="center" wrapText="1"/>
    </xf>
    <xf numFmtId="0" fontId="24" fillId="0" borderId="34" xfId="0" applyFont="1" applyBorder="1" applyAlignment="1">
      <alignment horizontal="center" vertical="center" wrapText="1"/>
    </xf>
    <xf numFmtId="0" fontId="8" fillId="9" borderId="34" xfId="0" applyFont="1" applyFill="1" applyBorder="1" applyAlignment="1">
      <alignment vertical="center" wrapText="1"/>
    </xf>
    <xf numFmtId="0" fontId="10" fillId="3" borderId="7"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4" fillId="4" borderId="11" xfId="0" applyFont="1" applyFill="1" applyBorder="1" applyAlignment="1">
      <alignment horizontal="center" vertical="center" wrapText="1"/>
    </xf>
    <xf numFmtId="49" fontId="13" fillId="10" borderId="25" xfId="0" applyNumberFormat="1" applyFont="1" applyFill="1" applyBorder="1" applyAlignment="1">
      <alignment vertical="center"/>
    </xf>
    <xf numFmtId="49" fontId="13" fillId="10" borderId="21" xfId="0" applyNumberFormat="1" applyFont="1" applyFill="1" applyBorder="1" applyAlignment="1">
      <alignment vertical="center"/>
    </xf>
    <xf numFmtId="42" fontId="13" fillId="10" borderId="20" xfId="1" applyFont="1" applyFill="1" applyBorder="1" applyAlignment="1">
      <alignment horizontal="center" vertical="center" wrapText="1"/>
    </xf>
    <xf numFmtId="0" fontId="8" fillId="6" borderId="34" xfId="0" applyFont="1" applyFill="1" applyBorder="1" applyAlignment="1">
      <alignment vertical="center" wrapText="1"/>
    </xf>
    <xf numFmtId="0" fontId="13" fillId="4" borderId="8" xfId="0" applyFont="1" applyFill="1" applyBorder="1" applyAlignment="1">
      <alignment vertical="center" wrapText="1"/>
    </xf>
    <xf numFmtId="0" fontId="20" fillId="4" borderId="11"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2" xfId="0" applyFont="1" applyFill="1" applyBorder="1" applyAlignment="1">
      <alignment vertical="center" wrapText="1"/>
    </xf>
    <xf numFmtId="0" fontId="18" fillId="11" borderId="2"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6" xfId="0" applyFont="1" applyFill="1" applyBorder="1" applyAlignment="1">
      <alignment horizontal="center" vertical="center" wrapText="1"/>
    </xf>
    <xf numFmtId="0" fontId="10" fillId="11" borderId="1" xfId="0" applyFont="1" applyFill="1" applyBorder="1" applyAlignment="1">
      <alignment horizontal="left" vertical="center" wrapText="1"/>
    </xf>
    <xf numFmtId="0" fontId="10" fillId="11" borderId="1" xfId="0" applyFont="1" applyFill="1" applyBorder="1" applyAlignment="1">
      <alignment vertical="center" wrapText="1"/>
    </xf>
    <xf numFmtId="0" fontId="18"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5" fillId="12" borderId="1" xfId="0" applyFont="1" applyFill="1" applyBorder="1" applyAlignment="1">
      <alignment horizontal="justify" vertical="center" wrapText="1"/>
    </xf>
    <xf numFmtId="0" fontId="10" fillId="11"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0" fillId="11" borderId="3" xfId="0" applyFont="1" applyFill="1" applyBorder="1" applyAlignment="1">
      <alignment horizontal="left" vertical="center" wrapText="1"/>
    </xf>
    <xf numFmtId="0" fontId="10" fillId="11" borderId="20" xfId="0" applyFont="1" applyFill="1" applyBorder="1" applyAlignment="1">
      <alignment horizontal="center" vertical="center" wrapText="1"/>
    </xf>
    <xf numFmtId="0" fontId="10" fillId="11" borderId="3" xfId="0" applyFont="1" applyFill="1" applyBorder="1" applyAlignment="1">
      <alignment vertical="center" wrapText="1"/>
    </xf>
    <xf numFmtId="0" fontId="10" fillId="11" borderId="20" xfId="0" applyFont="1" applyFill="1" applyBorder="1" applyAlignment="1">
      <alignment vertical="center" wrapText="1"/>
    </xf>
    <xf numFmtId="0" fontId="18" fillId="11" borderId="3" xfId="0" applyFont="1" applyFill="1" applyBorder="1" applyAlignment="1">
      <alignment horizontal="center" vertical="center"/>
    </xf>
    <xf numFmtId="0" fontId="10" fillId="11" borderId="3" xfId="0" applyFont="1" applyFill="1" applyBorder="1" applyAlignment="1">
      <alignment horizontal="center" vertical="center"/>
    </xf>
    <xf numFmtId="0" fontId="10" fillId="11" borderId="1" xfId="0" applyFont="1" applyFill="1" applyBorder="1" applyAlignment="1">
      <alignment horizontal="justify" vertical="center" wrapText="1"/>
    </xf>
    <xf numFmtId="0" fontId="10" fillId="11" borderId="11" xfId="0" applyFont="1" applyFill="1" applyBorder="1" applyAlignment="1">
      <alignment vertical="center" wrapText="1"/>
    </xf>
    <xf numFmtId="0" fontId="10" fillId="11" borderId="11" xfId="0" applyFont="1" applyFill="1" applyBorder="1" applyAlignment="1">
      <alignment horizontal="center" vertical="center"/>
    </xf>
    <xf numFmtId="0" fontId="10" fillId="11" borderId="11" xfId="0" applyFont="1" applyFill="1" applyBorder="1" applyAlignment="1">
      <alignment vertical="center"/>
    </xf>
    <xf numFmtId="0" fontId="10" fillId="13" borderId="1" xfId="0" applyFont="1" applyFill="1" applyBorder="1" applyAlignment="1">
      <alignment horizontal="left" vertical="center" wrapText="1"/>
    </xf>
    <xf numFmtId="0" fontId="10" fillId="13" borderId="1" xfId="0" applyFont="1" applyFill="1" applyBorder="1" applyAlignment="1">
      <alignment horizontal="center" vertical="center" wrapText="1"/>
    </xf>
    <xf numFmtId="0" fontId="10" fillId="13" borderId="1" xfId="0" applyFont="1" applyFill="1" applyBorder="1" applyAlignment="1">
      <alignment vertical="center" wrapText="1"/>
    </xf>
    <xf numFmtId="0" fontId="10" fillId="13" borderId="1" xfId="0" applyFont="1" applyFill="1" applyBorder="1" applyAlignment="1">
      <alignment vertical="center"/>
    </xf>
    <xf numFmtId="0" fontId="18" fillId="13" borderId="1" xfId="0" applyFont="1" applyFill="1" applyBorder="1" applyAlignment="1">
      <alignment horizontal="center" vertical="center" wrapText="1"/>
    </xf>
    <xf numFmtId="42" fontId="10" fillId="13" borderId="1" xfId="1" applyFont="1" applyFill="1" applyBorder="1" applyAlignment="1">
      <alignment horizontal="center" vertical="center" wrapText="1"/>
    </xf>
    <xf numFmtId="0" fontId="10" fillId="13" borderId="1" xfId="0" applyFont="1" applyFill="1" applyBorder="1" applyAlignment="1">
      <alignment horizontal="center" vertical="center"/>
    </xf>
    <xf numFmtId="0" fontId="10" fillId="13" borderId="1" xfId="0" applyFont="1" applyFill="1" applyBorder="1" applyAlignment="1">
      <alignment horizontal="justify" vertical="center" wrapText="1"/>
    </xf>
    <xf numFmtId="0" fontId="0" fillId="13" borderId="1" xfId="0" applyFill="1" applyBorder="1" applyAlignment="1">
      <alignment horizontal="center" vertical="center" wrapText="1"/>
    </xf>
    <xf numFmtId="0" fontId="10" fillId="13" borderId="3" xfId="0" applyFont="1" applyFill="1" applyBorder="1" applyAlignment="1">
      <alignment vertical="center"/>
    </xf>
    <xf numFmtId="0" fontId="10" fillId="13" borderId="3" xfId="0" applyFont="1" applyFill="1" applyBorder="1" applyAlignment="1">
      <alignment horizontal="center" vertical="center" wrapText="1"/>
    </xf>
    <xf numFmtId="0" fontId="10" fillId="13" borderId="3" xfId="0" applyFont="1" applyFill="1" applyBorder="1" applyAlignment="1">
      <alignment horizontal="center" vertical="center"/>
    </xf>
    <xf numFmtId="0" fontId="15" fillId="14" borderId="1" xfId="0" applyFont="1" applyFill="1" applyBorder="1" applyAlignment="1">
      <alignment horizontal="justify" vertical="center" wrapText="1"/>
    </xf>
    <xf numFmtId="0" fontId="10" fillId="13" borderId="3" xfId="0" applyFont="1" applyFill="1" applyBorder="1" applyAlignment="1">
      <alignment vertical="center" wrapText="1"/>
    </xf>
    <xf numFmtId="0" fontId="10" fillId="15" borderId="2" xfId="0" applyFont="1" applyFill="1" applyBorder="1" applyAlignment="1">
      <alignment vertical="center" wrapText="1"/>
    </xf>
    <xf numFmtId="0" fontId="10" fillId="15" borderId="2" xfId="0" applyFont="1" applyFill="1" applyBorder="1" applyAlignment="1">
      <alignment horizontal="center" vertical="center"/>
    </xf>
    <xf numFmtId="0" fontId="10" fillId="15" borderId="2" xfId="0" applyFont="1" applyFill="1" applyBorder="1" applyAlignment="1">
      <alignment vertical="center"/>
    </xf>
    <xf numFmtId="0" fontId="15" fillId="16" borderId="2" xfId="0" applyFont="1" applyFill="1" applyBorder="1" applyAlignment="1">
      <alignment horizontal="justify" vertical="center" wrapText="1"/>
    </xf>
    <xf numFmtId="0" fontId="10" fillId="15" borderId="2" xfId="0" applyFont="1" applyFill="1" applyBorder="1" applyAlignment="1">
      <alignment horizontal="center" vertical="center" wrapText="1"/>
    </xf>
    <xf numFmtId="0" fontId="18" fillId="15" borderId="2" xfId="0" applyFont="1" applyFill="1" applyBorder="1" applyAlignment="1">
      <alignment horizontal="center" vertical="center" wrapText="1"/>
    </xf>
    <xf numFmtId="0" fontId="10" fillId="15" borderId="8" xfId="0" applyFont="1" applyFill="1" applyBorder="1" applyAlignment="1">
      <alignment vertical="center" wrapText="1"/>
    </xf>
    <xf numFmtId="0" fontId="10" fillId="15" borderId="8" xfId="0" applyFont="1" applyFill="1" applyBorder="1" applyAlignment="1">
      <alignment vertical="center"/>
    </xf>
    <xf numFmtId="0" fontId="10" fillId="15" borderId="1" xfId="0" applyFont="1" applyFill="1" applyBorder="1" applyAlignment="1">
      <alignment horizontal="left" vertical="center" wrapText="1"/>
    </xf>
    <xf numFmtId="0" fontId="10" fillId="15" borderId="1" xfId="0" applyFont="1" applyFill="1" applyBorder="1" applyAlignment="1">
      <alignment horizontal="center" vertical="center" wrapText="1"/>
    </xf>
    <xf numFmtId="0" fontId="18" fillId="15" borderId="1" xfId="0" applyFont="1" applyFill="1" applyBorder="1" applyAlignment="1">
      <alignment horizontal="center" vertical="center" wrapText="1"/>
    </xf>
    <xf numFmtId="42" fontId="10" fillId="15" borderId="1" xfId="1" applyFont="1" applyFill="1" applyBorder="1" applyAlignment="1">
      <alignment horizontal="center" vertical="center" wrapText="1"/>
    </xf>
    <xf numFmtId="0" fontId="10" fillId="15" borderId="1" xfId="0" applyFont="1" applyFill="1" applyBorder="1" applyAlignment="1">
      <alignment vertical="center"/>
    </xf>
    <xf numFmtId="0" fontId="10" fillId="15" borderId="3" xfId="0" applyFont="1" applyFill="1" applyBorder="1" applyAlignment="1">
      <alignment horizontal="center" vertical="center" wrapText="1"/>
    </xf>
    <xf numFmtId="0" fontId="10" fillId="15" borderId="3" xfId="0" applyFont="1" applyFill="1" applyBorder="1" applyAlignment="1">
      <alignment vertical="center" wrapText="1"/>
    </xf>
    <xf numFmtId="0" fontId="10" fillId="15" borderId="3" xfId="0" applyFont="1" applyFill="1" applyBorder="1" applyAlignment="1">
      <alignment horizontal="center" vertical="center"/>
    </xf>
    <xf numFmtId="0" fontId="10" fillId="15" borderId="3" xfId="0" applyFont="1" applyFill="1" applyBorder="1" applyAlignment="1">
      <alignment vertical="center"/>
    </xf>
    <xf numFmtId="0" fontId="18" fillId="15" borderId="3" xfId="0" applyFont="1" applyFill="1" applyBorder="1" applyAlignment="1">
      <alignment horizontal="center" vertical="center" wrapText="1"/>
    </xf>
    <xf numFmtId="42" fontId="10" fillId="15" borderId="3" xfId="1" applyFont="1" applyFill="1" applyBorder="1" applyAlignment="1">
      <alignment horizontal="center" vertical="center" wrapText="1"/>
    </xf>
    <xf numFmtId="0" fontId="10" fillId="15" borderId="20" xfId="0" applyFont="1" applyFill="1" applyBorder="1" applyAlignment="1">
      <alignment horizontal="left" vertical="center" wrapText="1"/>
    </xf>
    <xf numFmtId="0" fontId="10" fillId="15" borderId="9" xfId="0" applyFont="1" applyFill="1" applyBorder="1" applyAlignment="1">
      <alignment vertical="center" wrapText="1"/>
    </xf>
    <xf numFmtId="0" fontId="10" fillId="7" borderId="8" xfId="0" applyFont="1" applyFill="1" applyBorder="1" applyAlignment="1">
      <alignment vertical="center" wrapText="1"/>
    </xf>
    <xf numFmtId="0" fontId="10" fillId="7" borderId="8" xfId="0" applyFont="1" applyFill="1" applyBorder="1" applyAlignment="1">
      <alignment vertical="center"/>
    </xf>
    <xf numFmtId="0" fontId="10" fillId="7" borderId="8" xfId="0" applyFont="1" applyFill="1" applyBorder="1" applyAlignment="1">
      <alignment horizontal="justify" vertical="center" wrapText="1"/>
    </xf>
    <xf numFmtId="0" fontId="18" fillId="7" borderId="8"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xf>
    <xf numFmtId="0" fontId="10" fillId="7" borderId="1" xfId="0" applyFont="1" applyFill="1" applyBorder="1" applyAlignment="1">
      <alignment horizontal="justify" vertical="center" wrapText="1"/>
    </xf>
    <xf numFmtId="0" fontId="10" fillId="7" borderId="8" xfId="0" applyFont="1" applyFill="1" applyBorder="1" applyAlignment="1">
      <alignment horizontal="center" vertical="center" wrapText="1"/>
    </xf>
    <xf numFmtId="0" fontId="16" fillId="17" borderId="1" xfId="0" applyFont="1" applyFill="1" applyBorder="1" applyAlignment="1">
      <alignment horizontal="justify" vertical="center" wrapText="1"/>
    </xf>
    <xf numFmtId="0" fontId="10"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1" xfId="0" applyFont="1" applyFill="1" applyBorder="1" applyAlignment="1">
      <alignment vertical="center" wrapText="1"/>
    </xf>
    <xf numFmtId="0" fontId="10" fillId="9" borderId="2" xfId="0" applyFont="1" applyFill="1" applyBorder="1" applyAlignment="1">
      <alignment horizontal="center" vertical="center"/>
    </xf>
    <xf numFmtId="42" fontId="10" fillId="9" borderId="2" xfId="1" applyFont="1" applyFill="1" applyBorder="1" applyAlignment="1">
      <alignment horizontal="center" vertical="center" wrapText="1"/>
    </xf>
    <xf numFmtId="0" fontId="10" fillId="9" borderId="1" xfId="0" applyFont="1" applyFill="1" applyBorder="1" applyAlignment="1">
      <alignment horizontal="center" vertical="center"/>
    </xf>
    <xf numFmtId="0" fontId="10" fillId="9" borderId="1" xfId="0" applyFont="1" applyFill="1" applyBorder="1" applyAlignment="1">
      <alignment vertical="center" wrapText="1"/>
    </xf>
    <xf numFmtId="0" fontId="10" fillId="9" borderId="1" xfId="0" applyFont="1" applyFill="1" applyBorder="1" applyAlignment="1">
      <alignment vertical="center"/>
    </xf>
    <xf numFmtId="0" fontId="10" fillId="9" borderId="1" xfId="0" applyFont="1" applyFill="1" applyBorder="1" applyAlignment="1">
      <alignment horizontal="justify" vertical="center" wrapText="1"/>
    </xf>
    <xf numFmtId="0" fontId="10"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18" fillId="9" borderId="1" xfId="0" applyFont="1" applyFill="1" applyBorder="1" applyAlignment="1">
      <alignment horizontal="center" vertical="center" wrapText="1"/>
    </xf>
    <xf numFmtId="42" fontId="10" fillId="9" borderId="1" xfId="1" applyFont="1" applyFill="1" applyBorder="1" applyAlignment="1">
      <alignment horizontal="center" vertical="center" wrapText="1"/>
    </xf>
    <xf numFmtId="0" fontId="10" fillId="7" borderId="11" xfId="0" applyFont="1" applyFill="1" applyBorder="1" applyAlignment="1">
      <alignment horizontal="center" vertical="center"/>
    </xf>
    <xf numFmtId="0" fontId="10" fillId="7" borderId="11" xfId="0" applyFont="1" applyFill="1" applyBorder="1" applyAlignment="1">
      <alignment horizontal="justify" vertical="center" wrapText="1"/>
    </xf>
    <xf numFmtId="0" fontId="18" fillId="7" borderId="11"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9" borderId="11" xfId="0" applyFont="1" applyFill="1" applyBorder="1" applyAlignment="1">
      <alignment vertical="center"/>
    </xf>
    <xf numFmtId="0" fontId="10" fillId="9" borderId="11" xfId="0" applyFont="1" applyFill="1" applyBorder="1" applyAlignment="1">
      <alignment horizontal="justify" vertical="center" wrapText="1"/>
    </xf>
    <xf numFmtId="0" fontId="10" fillId="18" borderId="2" xfId="0" applyFont="1" applyFill="1" applyBorder="1" applyAlignment="1">
      <alignment horizontal="center" vertical="center" wrapText="1"/>
    </xf>
    <xf numFmtId="0" fontId="10" fillId="18" borderId="2" xfId="0" applyFont="1" applyFill="1" applyBorder="1" applyAlignment="1">
      <alignment vertical="center"/>
    </xf>
    <xf numFmtId="0" fontId="18" fillId="18" borderId="2" xfId="0" applyFont="1" applyFill="1" applyBorder="1" applyAlignment="1">
      <alignment horizontal="center" vertical="center" wrapText="1"/>
    </xf>
    <xf numFmtId="42" fontId="10" fillId="18" borderId="2" xfId="1" applyFont="1" applyFill="1" applyBorder="1" applyAlignment="1">
      <alignment horizontal="center" vertical="center" wrapText="1"/>
    </xf>
    <xf numFmtId="0" fontId="10" fillId="18" borderId="8" xfId="0" applyFont="1" applyFill="1" applyBorder="1" applyAlignment="1">
      <alignment horizontal="center" vertical="center" wrapText="1"/>
    </xf>
    <xf numFmtId="0" fontId="10" fillId="18" borderId="1" xfId="0" applyFont="1" applyFill="1" applyBorder="1" applyAlignment="1">
      <alignment horizontal="center" vertical="center" wrapText="1"/>
    </xf>
    <xf numFmtId="0" fontId="10" fillId="18" borderId="1" xfId="0" applyFont="1" applyFill="1" applyBorder="1" applyAlignment="1">
      <alignment vertical="center"/>
    </xf>
    <xf numFmtId="0" fontId="10" fillId="18" borderId="1" xfId="0" applyFont="1" applyFill="1" applyBorder="1" applyAlignment="1">
      <alignment horizontal="justify" vertical="center" wrapText="1"/>
    </xf>
    <xf numFmtId="0" fontId="10" fillId="18" borderId="1" xfId="0" applyFont="1" applyFill="1" applyBorder="1" applyAlignment="1">
      <alignment horizontal="center" vertical="center"/>
    </xf>
    <xf numFmtId="0" fontId="18" fillId="18" borderId="1" xfId="0" applyFont="1" applyFill="1" applyBorder="1" applyAlignment="1">
      <alignment horizontal="center" vertical="center" wrapText="1"/>
    </xf>
    <xf numFmtId="42" fontId="10" fillId="18" borderId="1" xfId="1" applyFont="1" applyFill="1" applyBorder="1" applyAlignment="1">
      <alignment horizontal="center" vertical="center" wrapText="1"/>
    </xf>
    <xf numFmtId="0" fontId="10" fillId="18" borderId="1" xfId="0" applyFont="1" applyFill="1" applyBorder="1" applyAlignment="1">
      <alignment vertical="center" wrapText="1"/>
    </xf>
    <xf numFmtId="0" fontId="10" fillId="18" borderId="3" xfId="0" applyFont="1" applyFill="1" applyBorder="1" applyAlignment="1">
      <alignment horizontal="center" vertical="center" wrapText="1"/>
    </xf>
    <xf numFmtId="0" fontId="10" fillId="18" borderId="3" xfId="0" applyFont="1" applyFill="1" applyBorder="1" applyAlignment="1">
      <alignment vertical="center" wrapText="1"/>
    </xf>
    <xf numFmtId="0" fontId="10" fillId="18" borderId="3" xfId="0" applyFont="1" applyFill="1" applyBorder="1" applyAlignment="1">
      <alignment vertical="center"/>
    </xf>
    <xf numFmtId="0" fontId="10" fillId="18" borderId="3" xfId="0" applyFont="1" applyFill="1" applyBorder="1" applyAlignment="1">
      <alignment horizontal="justify" vertical="center" wrapText="1"/>
    </xf>
    <xf numFmtId="0" fontId="0" fillId="18" borderId="3" xfId="0" applyFill="1" applyBorder="1" applyAlignment="1">
      <alignment horizontal="center" vertical="center" wrapText="1"/>
    </xf>
    <xf numFmtId="0" fontId="18" fillId="18" borderId="3" xfId="0" applyFont="1" applyFill="1" applyBorder="1" applyAlignment="1">
      <alignment horizontal="center" vertical="center" wrapText="1"/>
    </xf>
    <xf numFmtId="9" fontId="17" fillId="15" borderId="2" xfId="0" applyNumberFormat="1" applyFont="1" applyFill="1" applyBorder="1" applyAlignment="1">
      <alignment vertical="center"/>
    </xf>
    <xf numFmtId="9" fontId="17" fillId="15" borderId="8" xfId="0" applyNumberFormat="1" applyFont="1" applyFill="1" applyBorder="1" applyAlignment="1">
      <alignment vertical="center"/>
    </xf>
    <xf numFmtId="0" fontId="10" fillId="19" borderId="2" xfId="0" applyFont="1" applyFill="1" applyBorder="1" applyAlignment="1">
      <alignment horizontal="center" vertical="center" wrapText="1"/>
    </xf>
    <xf numFmtId="0" fontId="10" fillId="19" borderId="2" xfId="0" applyFont="1" applyFill="1" applyBorder="1" applyAlignment="1">
      <alignment vertical="center" wrapText="1"/>
    </xf>
    <xf numFmtId="0" fontId="10" fillId="19" borderId="2" xfId="0" applyFont="1" applyFill="1" applyBorder="1" applyAlignment="1">
      <alignment horizontal="center" vertical="center"/>
    </xf>
    <xf numFmtId="0" fontId="10" fillId="19" borderId="2" xfId="0" applyFont="1" applyFill="1" applyBorder="1" applyAlignment="1">
      <alignment vertical="center"/>
    </xf>
    <xf numFmtId="0" fontId="18" fillId="19" borderId="2" xfId="0" applyFont="1" applyFill="1" applyBorder="1" applyAlignment="1">
      <alignment horizontal="center" vertical="center" wrapText="1"/>
    </xf>
    <xf numFmtId="42" fontId="10" fillId="19" borderId="2" xfId="1" applyFont="1" applyFill="1" applyBorder="1" applyAlignment="1">
      <alignment horizontal="center" vertical="center" wrapText="1"/>
    </xf>
    <xf numFmtId="0" fontId="10" fillId="19" borderId="8" xfId="0" applyFont="1" applyFill="1" applyBorder="1" applyAlignment="1">
      <alignment horizontal="center" vertical="center" wrapText="1"/>
    </xf>
    <xf numFmtId="0" fontId="10" fillId="19" borderId="8" xfId="0" applyFont="1" applyFill="1" applyBorder="1" applyAlignment="1">
      <alignment vertical="center" wrapText="1"/>
    </xf>
    <xf numFmtId="0" fontId="10" fillId="19" borderId="8" xfId="0" applyFont="1" applyFill="1" applyBorder="1" applyAlignment="1">
      <alignment horizontal="center" vertical="center"/>
    </xf>
    <xf numFmtId="0" fontId="10" fillId="19" borderId="8" xfId="0" applyFont="1" applyFill="1" applyBorder="1" applyAlignment="1">
      <alignment vertical="center"/>
    </xf>
    <xf numFmtId="0" fontId="10" fillId="19" borderId="8" xfId="0" applyFont="1" applyFill="1" applyBorder="1" applyAlignment="1">
      <alignment horizontal="justify" vertical="center" wrapText="1"/>
    </xf>
    <xf numFmtId="0" fontId="18" fillId="19" borderId="8" xfId="0" applyFont="1" applyFill="1" applyBorder="1" applyAlignment="1">
      <alignment horizontal="center" vertical="center" wrapText="1"/>
    </xf>
    <xf numFmtId="42" fontId="10" fillId="19" borderId="8" xfId="1" applyFont="1" applyFill="1" applyBorder="1" applyAlignment="1">
      <alignment horizontal="center" vertical="center" wrapText="1"/>
    </xf>
    <xf numFmtId="0" fontId="10" fillId="19" borderId="1" xfId="0" applyFont="1" applyFill="1" applyBorder="1" applyAlignment="1">
      <alignment horizontal="center" vertical="center" wrapText="1"/>
    </xf>
    <xf numFmtId="0" fontId="10" fillId="19" borderId="1" xfId="0" applyFont="1" applyFill="1" applyBorder="1" applyAlignment="1">
      <alignment vertical="center" wrapText="1"/>
    </xf>
    <xf numFmtId="0" fontId="10" fillId="19" borderId="1" xfId="0" applyFont="1" applyFill="1" applyBorder="1" applyAlignment="1">
      <alignment horizontal="center" vertical="center"/>
    </xf>
    <xf numFmtId="0" fontId="10" fillId="19" borderId="1" xfId="0" applyFont="1" applyFill="1" applyBorder="1" applyAlignment="1">
      <alignment vertical="center"/>
    </xf>
    <xf numFmtId="0" fontId="10" fillId="19" borderId="1" xfId="0" applyFont="1" applyFill="1" applyBorder="1" applyAlignment="1">
      <alignment horizontal="justify" vertical="center" wrapText="1"/>
    </xf>
    <xf numFmtId="0" fontId="18" fillId="19" borderId="1" xfId="0" applyFont="1" applyFill="1" applyBorder="1" applyAlignment="1">
      <alignment horizontal="center" vertical="center" wrapText="1"/>
    </xf>
    <xf numFmtId="42" fontId="10" fillId="19" borderId="1" xfId="1" applyFont="1" applyFill="1" applyBorder="1" applyAlignment="1">
      <alignment horizontal="center" vertical="center" wrapText="1"/>
    </xf>
    <xf numFmtId="0" fontId="10" fillId="19" borderId="3" xfId="0" applyFont="1" applyFill="1" applyBorder="1" applyAlignment="1">
      <alignment vertical="center" wrapText="1"/>
    </xf>
    <xf numFmtId="0" fontId="10" fillId="19" borderId="3" xfId="0" applyFont="1" applyFill="1" applyBorder="1" applyAlignment="1">
      <alignment horizontal="center" vertical="center"/>
    </xf>
    <xf numFmtId="0" fontId="10" fillId="19" borderId="3" xfId="0" applyFont="1" applyFill="1" applyBorder="1" applyAlignment="1">
      <alignment vertical="center"/>
    </xf>
    <xf numFmtId="0" fontId="10" fillId="19" borderId="3" xfId="0" applyFont="1" applyFill="1" applyBorder="1" applyAlignment="1">
      <alignment horizontal="justify" vertical="center" wrapText="1"/>
    </xf>
    <xf numFmtId="0" fontId="0" fillId="19" borderId="3" xfId="0" applyFill="1" applyBorder="1" applyAlignment="1">
      <alignment horizontal="center" vertical="center" wrapText="1"/>
    </xf>
    <xf numFmtId="0" fontId="13"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0" fillId="3" borderId="7" xfId="0" applyFont="1" applyFill="1" applyBorder="1" applyAlignment="1">
      <alignment horizontal="center" vertical="center"/>
    </xf>
    <xf numFmtId="0" fontId="13" fillId="3" borderId="7"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11" borderId="17"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0" fillId="11" borderId="17" xfId="0" applyFont="1" applyFill="1" applyBorder="1" applyAlignment="1">
      <alignment horizontal="center" vertical="center"/>
    </xf>
    <xf numFmtId="0" fontId="13" fillId="11" borderId="17" xfId="0" applyFont="1" applyFill="1" applyBorder="1" applyAlignment="1">
      <alignment horizontal="center" vertical="center" wrapText="1"/>
    </xf>
    <xf numFmtId="42" fontId="10" fillId="15" borderId="1" xfId="1" applyFont="1" applyFill="1" applyBorder="1" applyAlignment="1">
      <alignment vertical="center" wrapText="1"/>
    </xf>
    <xf numFmtId="0" fontId="0" fillId="7" borderId="11" xfId="0" applyFill="1" applyBorder="1" applyAlignment="1">
      <alignment horizontal="center" vertical="center" wrapText="1"/>
    </xf>
    <xf numFmtId="0" fontId="10" fillId="11" borderId="17" xfId="0" applyFont="1" applyFill="1" applyBorder="1" applyAlignment="1">
      <alignment vertical="center" wrapText="1"/>
    </xf>
    <xf numFmtId="0" fontId="10" fillId="11" borderId="36" xfId="0" applyFont="1" applyFill="1" applyBorder="1" applyAlignment="1">
      <alignment horizontal="center" vertical="center" wrapText="1"/>
    </xf>
    <xf numFmtId="0" fontId="10" fillId="11" borderId="17" xfId="0" applyFont="1" applyFill="1" applyBorder="1" applyAlignment="1">
      <alignment vertical="center"/>
    </xf>
    <xf numFmtId="42" fontId="10" fillId="0" borderId="0" xfId="0" applyNumberFormat="1" applyFont="1" applyAlignment="1">
      <alignment horizontal="center" vertical="center"/>
    </xf>
    <xf numFmtId="0" fontId="10" fillId="5" borderId="0" xfId="0" applyFont="1" applyFill="1" applyAlignment="1">
      <alignment horizontal="center" vertical="center"/>
    </xf>
    <xf numFmtId="0" fontId="10" fillId="9" borderId="8" xfId="0" applyFont="1" applyFill="1" applyBorder="1" applyAlignment="1">
      <alignment horizontal="center" vertical="center" wrapText="1"/>
    </xf>
    <xf numFmtId="0" fontId="10" fillId="9" borderId="2" xfId="0" applyFont="1" applyFill="1" applyBorder="1" applyAlignment="1">
      <alignment horizontal="center" vertical="center" wrapText="1"/>
    </xf>
    <xf numFmtId="9" fontId="17" fillId="15" borderId="17" xfId="0" applyNumberFormat="1" applyFont="1" applyFill="1" applyBorder="1" applyAlignment="1">
      <alignment horizontal="center" vertical="center"/>
    </xf>
    <xf numFmtId="0" fontId="10" fillId="12" borderId="1" xfId="0" applyFont="1" applyFill="1" applyBorder="1" applyAlignment="1">
      <alignment horizontal="justify" vertical="center" wrapText="1"/>
    </xf>
    <xf numFmtId="9" fontId="10" fillId="7" borderId="1" xfId="0" applyNumberFormat="1" applyFont="1" applyFill="1" applyBorder="1" applyAlignment="1">
      <alignment horizontal="center" vertical="center" wrapText="1"/>
    </xf>
    <xf numFmtId="0" fontId="10" fillId="9" borderId="8" xfId="0" applyFont="1" applyFill="1" applyBorder="1" applyAlignment="1">
      <alignment horizontal="justify" vertical="center" wrapText="1"/>
    </xf>
    <xf numFmtId="42" fontId="10" fillId="9" borderId="11" xfId="1" applyFont="1" applyFill="1" applyBorder="1" applyAlignment="1">
      <alignment vertical="center" wrapText="1"/>
    </xf>
    <xf numFmtId="0" fontId="18" fillId="9" borderId="1" xfId="0" applyFont="1" applyFill="1" applyBorder="1" applyAlignment="1">
      <alignment vertical="center" wrapText="1"/>
    </xf>
    <xf numFmtId="0" fontId="10" fillId="19" borderId="2" xfId="0" applyFont="1" applyFill="1" applyBorder="1" applyAlignment="1">
      <alignment horizontal="left" vertical="top" wrapText="1"/>
    </xf>
    <xf numFmtId="0" fontId="15" fillId="16" borderId="1" xfId="0" applyFont="1" applyFill="1" applyBorder="1" applyAlignment="1">
      <alignment horizontal="justify" vertical="center" wrapText="1"/>
    </xf>
    <xf numFmtId="0" fontId="10" fillId="13" borderId="17" xfId="0" applyFont="1" applyFill="1" applyBorder="1" applyAlignment="1">
      <alignment horizontal="center" vertical="center" wrapText="1"/>
    </xf>
    <xf numFmtId="0" fontId="10" fillId="3" borderId="44" xfId="0" applyFont="1" applyFill="1" applyBorder="1" applyAlignment="1">
      <alignment horizontal="center" vertical="center"/>
    </xf>
    <xf numFmtId="0" fontId="10" fillId="14" borderId="1" xfId="0" applyFont="1" applyFill="1" applyBorder="1" applyAlignment="1">
      <alignment horizontal="justify" vertical="center" wrapText="1"/>
    </xf>
    <xf numFmtId="0" fontId="10" fillId="15" borderId="17" xfId="0" applyFont="1" applyFill="1" applyBorder="1" applyAlignment="1">
      <alignment horizontal="center" vertical="center" wrapText="1"/>
    </xf>
    <xf numFmtId="0" fontId="10" fillId="15" borderId="8"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3" borderId="11" xfId="0" applyFont="1" applyFill="1" applyBorder="1" applyAlignment="1">
      <alignment vertical="center"/>
    </xf>
    <xf numFmtId="0" fontId="15" fillId="13" borderId="1" xfId="0" applyFont="1" applyFill="1" applyBorder="1" applyAlignment="1">
      <alignment vertical="center" wrapText="1"/>
    </xf>
    <xf numFmtId="0" fontId="10" fillId="11" borderId="12" xfId="0" applyFont="1" applyFill="1" applyBorder="1" applyAlignment="1">
      <alignment vertical="center" wrapText="1"/>
    </xf>
    <xf numFmtId="0" fontId="18" fillId="7" borderId="8" xfId="0" applyFont="1" applyFill="1" applyBorder="1" applyAlignment="1">
      <alignment vertical="center" wrapText="1"/>
    </xf>
    <xf numFmtId="0" fontId="15" fillId="16" borderId="8" xfId="0" applyFont="1" applyFill="1" applyBorder="1" applyAlignment="1">
      <alignment horizontal="justify" vertical="center" wrapText="1"/>
    </xf>
    <xf numFmtId="9" fontId="10" fillId="15" borderId="8" xfId="0" applyNumberFormat="1" applyFont="1" applyFill="1" applyBorder="1" applyAlignment="1">
      <alignment horizontal="center" vertical="center" wrapText="1"/>
    </xf>
    <xf numFmtId="0" fontId="10" fillId="15" borderId="17" xfId="0" applyFont="1" applyFill="1" applyBorder="1" applyAlignment="1">
      <alignment vertical="center"/>
    </xf>
    <xf numFmtId="0" fontId="10" fillId="15" borderId="11" xfId="0" applyFont="1" applyFill="1" applyBorder="1" applyAlignment="1">
      <alignment horizontal="left" vertical="center" wrapText="1"/>
    </xf>
    <xf numFmtId="0" fontId="10" fillId="15" borderId="1" xfId="0" applyFont="1" applyFill="1" applyBorder="1" applyAlignment="1">
      <alignment vertical="center" wrapText="1"/>
    </xf>
    <xf numFmtId="0" fontId="10" fillId="15" borderId="1" xfId="0" applyFont="1" applyFill="1" applyBorder="1" applyAlignment="1">
      <alignment horizontal="center" vertical="center"/>
    </xf>
    <xf numFmtId="0" fontId="10" fillId="15" borderId="1" xfId="0" applyFont="1" applyFill="1" applyBorder="1" applyAlignment="1">
      <alignment horizontal="justify" vertical="center" wrapText="1"/>
    </xf>
    <xf numFmtId="0" fontId="10" fillId="15" borderId="3" xfId="0" applyFont="1" applyFill="1" applyBorder="1" applyAlignment="1">
      <alignment horizontal="justify" vertical="center" wrapText="1"/>
    </xf>
    <xf numFmtId="0" fontId="10" fillId="15" borderId="2" xfId="0" applyFont="1" applyFill="1" applyBorder="1" applyAlignment="1">
      <alignment horizontal="justify" vertical="center" wrapText="1"/>
    </xf>
    <xf numFmtId="0" fontId="10" fillId="15" borderId="8" xfId="0" applyFont="1" applyFill="1" applyBorder="1" applyAlignment="1">
      <alignment horizontal="justify" vertical="center" wrapText="1"/>
    </xf>
    <xf numFmtId="0" fontId="10" fillId="15" borderId="11" xfId="0" applyFont="1" applyFill="1" applyBorder="1" applyAlignment="1">
      <alignment horizontal="justify" vertical="center" wrapText="1"/>
    </xf>
    <xf numFmtId="0" fontId="10" fillId="15" borderId="11" xfId="0" applyFont="1" applyFill="1" applyBorder="1" applyAlignment="1">
      <alignment vertical="center" wrapText="1"/>
    </xf>
    <xf numFmtId="0" fontId="10" fillId="15" borderId="9" xfId="0" applyFont="1" applyFill="1" applyBorder="1" applyAlignment="1">
      <alignment horizontal="center" vertical="center" wrapText="1"/>
    </xf>
    <xf numFmtId="0" fontId="10" fillId="15" borderId="17" xfId="0" applyFont="1" applyFill="1" applyBorder="1" applyAlignment="1">
      <alignment vertical="center" wrapText="1"/>
    </xf>
    <xf numFmtId="42" fontId="10" fillId="15" borderId="8" xfId="1" applyFont="1" applyFill="1" applyBorder="1" applyAlignment="1">
      <alignment vertical="center" wrapText="1"/>
    </xf>
    <xf numFmtId="0" fontId="0" fillId="15" borderId="1" xfId="0" applyFill="1" applyBorder="1" applyAlignment="1">
      <alignment horizontal="center" vertical="center" wrapText="1"/>
    </xf>
    <xf numFmtId="42" fontId="10" fillId="7" borderId="8" xfId="1" applyFont="1" applyFill="1" applyBorder="1" applyAlignment="1">
      <alignment vertical="center" wrapText="1"/>
    </xf>
    <xf numFmtId="0" fontId="10" fillId="15" borderId="12" xfId="0" applyFont="1" applyFill="1" applyBorder="1" applyAlignment="1">
      <alignment horizontal="center" vertical="center" wrapText="1"/>
    </xf>
    <xf numFmtId="42" fontId="10" fillId="7" borderId="11" xfId="1" applyFont="1" applyFill="1" applyBorder="1" applyAlignment="1">
      <alignment horizontal="center" vertical="center" wrapText="1"/>
    </xf>
    <xf numFmtId="42" fontId="10" fillId="7" borderId="8" xfId="1" applyFont="1" applyFill="1" applyBorder="1" applyAlignment="1">
      <alignment horizontal="center" vertical="center" wrapText="1"/>
    </xf>
    <xf numFmtId="42" fontId="10" fillId="15" borderId="11" xfId="1" applyFont="1" applyFill="1" applyBorder="1" applyAlignment="1">
      <alignment horizontal="center" vertical="center" wrapText="1"/>
    </xf>
    <xf numFmtId="42" fontId="10" fillId="15" borderId="17" xfId="1" applyFont="1" applyFill="1" applyBorder="1" applyAlignment="1">
      <alignment horizontal="center" vertical="center" wrapText="1"/>
    </xf>
    <xf numFmtId="42" fontId="10" fillId="15" borderId="8" xfId="1" applyFont="1" applyFill="1" applyBorder="1" applyAlignment="1">
      <alignment horizontal="center" vertical="center" wrapText="1"/>
    </xf>
    <xf numFmtId="42" fontId="10" fillId="9" borderId="11" xfId="1" applyFont="1" applyFill="1" applyBorder="1" applyAlignment="1">
      <alignment horizontal="center" vertical="center" wrapText="1"/>
    </xf>
    <xf numFmtId="42" fontId="10" fillId="9" borderId="8" xfId="1" applyFont="1" applyFill="1" applyBorder="1" applyAlignment="1">
      <alignment horizontal="center" vertical="center" wrapText="1"/>
    </xf>
    <xf numFmtId="0" fontId="0" fillId="9" borderId="8" xfId="0" applyFill="1" applyBorder="1" applyAlignment="1">
      <alignment horizontal="center" vertical="center" wrapText="1"/>
    </xf>
    <xf numFmtId="0" fontId="18" fillId="9" borderId="11"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18" fillId="7" borderId="1" xfId="0" applyFont="1" applyFill="1" applyBorder="1" applyAlignment="1">
      <alignment horizontal="center" vertical="center" wrapText="1"/>
    </xf>
    <xf numFmtId="42" fontId="10" fillId="7" borderId="1" xfId="1" applyFont="1" applyFill="1" applyBorder="1" applyAlignment="1">
      <alignment horizontal="center" vertical="center" wrapText="1"/>
    </xf>
    <xf numFmtId="164" fontId="18" fillId="11" borderId="17" xfId="0" applyNumberFormat="1" applyFont="1" applyFill="1" applyBorder="1" applyAlignment="1">
      <alignment horizontal="center" vertical="center" wrapText="1"/>
    </xf>
    <xf numFmtId="0" fontId="10" fillId="15" borderId="17" xfId="0" applyFont="1" applyFill="1" applyBorder="1" applyAlignment="1">
      <alignment horizontal="center" vertical="center"/>
    </xf>
    <xf numFmtId="0" fontId="10" fillId="15" borderId="8" xfId="0" applyFont="1" applyFill="1" applyBorder="1" applyAlignment="1">
      <alignment horizontal="center" vertical="center"/>
    </xf>
    <xf numFmtId="0" fontId="0" fillId="15" borderId="8" xfId="0" applyFill="1" applyBorder="1" applyAlignment="1">
      <alignment horizontal="center" vertical="center" wrapText="1"/>
    </xf>
    <xf numFmtId="0" fontId="18" fillId="15" borderId="17" xfId="0" applyFont="1" applyFill="1" applyBorder="1" applyAlignment="1">
      <alignment horizontal="center" vertical="center" wrapText="1"/>
    </xf>
    <xf numFmtId="0" fontId="18" fillId="15" borderId="8" xfId="0" applyFont="1" applyFill="1" applyBorder="1" applyAlignment="1">
      <alignment horizontal="center" vertical="center" wrapText="1"/>
    </xf>
    <xf numFmtId="0" fontId="10" fillId="15" borderId="11" xfId="0" applyFont="1" applyFill="1" applyBorder="1" applyAlignment="1">
      <alignment horizontal="center" vertical="center"/>
    </xf>
    <xf numFmtId="0" fontId="10" fillId="19" borderId="12" xfId="0" applyFont="1" applyFill="1" applyBorder="1" applyAlignment="1">
      <alignment horizontal="center" vertical="center" wrapText="1"/>
    </xf>
    <xf numFmtId="0" fontId="10" fillId="19" borderId="11" xfId="0" applyFont="1" applyFill="1" applyBorder="1" applyAlignment="1">
      <alignment horizontal="center" vertical="center" wrapText="1"/>
    </xf>
    <xf numFmtId="0" fontId="18" fillId="15" borderId="11" xfId="0" applyFont="1" applyFill="1" applyBorder="1" applyAlignment="1">
      <alignment horizontal="center" vertical="center" wrapText="1"/>
    </xf>
    <xf numFmtId="0" fontId="10" fillId="20" borderId="1" xfId="0" applyFont="1" applyFill="1" applyBorder="1" applyAlignment="1">
      <alignment horizontal="center" vertical="center" wrapText="1"/>
    </xf>
    <xf numFmtId="0" fontId="0" fillId="20" borderId="8" xfId="0" applyFill="1" applyBorder="1" applyAlignment="1">
      <alignment horizontal="center" vertical="center" wrapText="1"/>
    </xf>
    <xf numFmtId="0" fontId="18" fillId="20" borderId="8" xfId="0" applyFont="1" applyFill="1" applyBorder="1" applyAlignment="1">
      <alignment horizontal="center" vertical="center" wrapText="1"/>
    </xf>
    <xf numFmtId="0" fontId="0" fillId="20" borderId="1" xfId="0" applyFill="1" applyBorder="1" applyAlignment="1">
      <alignment horizontal="center" vertical="center" wrapText="1"/>
    </xf>
    <xf numFmtId="0" fontId="18" fillId="20" borderId="1" xfId="0" applyFont="1" applyFill="1" applyBorder="1" applyAlignment="1">
      <alignment horizontal="center" vertical="center" wrapText="1"/>
    </xf>
    <xf numFmtId="42" fontId="10" fillId="20" borderId="1" xfId="1" applyFont="1" applyFill="1" applyBorder="1" applyAlignment="1">
      <alignment horizontal="center" vertical="center" wrapText="1"/>
    </xf>
    <xf numFmtId="3" fontId="21" fillId="0" borderId="0" xfId="0" applyNumberFormat="1" applyFont="1" applyAlignment="1">
      <alignment horizontal="right" vertical="center"/>
    </xf>
    <xf numFmtId="164" fontId="18" fillId="11" borderId="1" xfId="0" applyNumberFormat="1" applyFont="1" applyFill="1" applyBorder="1" applyAlignment="1">
      <alignment horizontal="center" vertical="center" wrapText="1"/>
    </xf>
    <xf numFmtId="42" fontId="13" fillId="10" borderId="1" xfId="1" applyFont="1" applyFill="1" applyBorder="1" applyAlignment="1">
      <alignment horizontal="center" vertical="center" wrapText="1"/>
    </xf>
    <xf numFmtId="0" fontId="12" fillId="4" borderId="15" xfId="0" applyFont="1" applyFill="1" applyBorder="1" applyAlignment="1">
      <alignment horizontal="center" vertical="center" wrapText="1"/>
    </xf>
    <xf numFmtId="164" fontId="18" fillId="11" borderId="8" xfId="0" applyNumberFormat="1" applyFont="1" applyFill="1" applyBorder="1" applyAlignment="1">
      <alignment horizontal="center" vertical="center" wrapText="1"/>
    </xf>
    <xf numFmtId="42" fontId="10" fillId="18" borderId="8" xfId="1" applyFont="1" applyFill="1" applyBorder="1" applyAlignment="1">
      <alignment horizontal="center" vertical="center" wrapText="1"/>
    </xf>
    <xf numFmtId="42" fontId="13" fillId="10" borderId="36" xfId="1" applyFont="1" applyFill="1" applyBorder="1" applyAlignment="1">
      <alignment horizontal="center" vertical="center" wrapText="1"/>
    </xf>
    <xf numFmtId="42" fontId="14" fillId="4" borderId="1" xfId="1" applyFont="1" applyFill="1" applyBorder="1" applyAlignment="1">
      <alignment horizontal="center" vertical="center" wrapText="1"/>
    </xf>
    <xf numFmtId="0" fontId="24" fillId="0" borderId="34" xfId="0" applyFont="1" applyBorder="1" applyAlignment="1">
      <alignment vertical="center" wrapText="1"/>
    </xf>
    <xf numFmtId="0" fontId="10" fillId="3" borderId="0" xfId="0" applyFont="1" applyFill="1" applyAlignment="1">
      <alignment horizontal="center" vertical="center" wrapText="1"/>
    </xf>
    <xf numFmtId="42" fontId="14" fillId="21" borderId="1" xfId="1" applyFont="1" applyFill="1" applyBorder="1" applyAlignment="1">
      <alignment horizontal="center" vertical="center" wrapText="1"/>
    </xf>
    <xf numFmtId="0" fontId="12" fillId="3" borderId="1" xfId="0" applyFont="1" applyFill="1" applyBorder="1" applyAlignment="1">
      <alignment vertical="center" wrapText="1"/>
    </xf>
    <xf numFmtId="0" fontId="10" fillId="3" borderId="43" xfId="0" applyFont="1" applyFill="1" applyBorder="1" applyAlignment="1">
      <alignment horizontal="center" vertical="center" wrapText="1"/>
    </xf>
    <xf numFmtId="0" fontId="10" fillId="11" borderId="1" xfId="0" applyFont="1" applyFill="1" applyBorder="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justify" vertical="center" wrapText="1"/>
    </xf>
    <xf numFmtId="0" fontId="14" fillId="0" borderId="1" xfId="0" applyFont="1" applyBorder="1" applyAlignment="1">
      <alignment horizontal="center" vertical="center" wrapText="1"/>
    </xf>
    <xf numFmtId="164" fontId="10" fillId="0" borderId="1" xfId="0" applyNumberFormat="1" applyFont="1" applyBorder="1" applyAlignment="1">
      <alignment horizontal="center" vertical="center" wrapText="1"/>
    </xf>
    <xf numFmtId="9"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9" fontId="10" fillId="0" borderId="1" xfId="2" applyFont="1" applyBorder="1" applyAlignment="1">
      <alignment horizontal="center" vertical="center" wrapText="1"/>
    </xf>
    <xf numFmtId="0" fontId="14" fillId="9" borderId="1" xfId="0" applyFont="1" applyFill="1" applyBorder="1" applyAlignment="1">
      <alignment horizontal="center" vertical="center" wrapText="1"/>
    </xf>
    <xf numFmtId="0" fontId="14" fillId="9" borderId="1" xfId="0" applyFont="1" applyFill="1" applyBorder="1" applyAlignment="1">
      <alignment horizontal="center" vertical="center"/>
    </xf>
    <xf numFmtId="0" fontId="14" fillId="21" borderId="0" xfId="0" applyFont="1" applyFill="1" applyAlignment="1">
      <alignment horizontal="center" vertical="center"/>
    </xf>
    <xf numFmtId="0" fontId="14" fillId="21" borderId="1" xfId="0" applyFont="1" applyFill="1" applyBorder="1" applyAlignment="1">
      <alignment horizontal="center" vertical="center" wrapText="1"/>
    </xf>
    <xf numFmtId="0" fontId="14" fillId="21" borderId="1" xfId="0" applyFont="1" applyFill="1" applyBorder="1" applyAlignment="1">
      <alignment horizontal="center" vertical="center"/>
    </xf>
    <xf numFmtId="164" fontId="14"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164" fontId="18" fillId="9" borderId="1" xfId="0" applyNumberFormat="1" applyFont="1" applyFill="1" applyBorder="1" applyAlignment="1">
      <alignment horizontal="center" vertical="center" wrapText="1"/>
    </xf>
    <xf numFmtId="164" fontId="10" fillId="0" borderId="1" xfId="0" applyNumberFormat="1" applyFont="1" applyBorder="1" applyAlignment="1">
      <alignment horizontal="justify" vertical="center" wrapText="1"/>
    </xf>
    <xf numFmtId="164" fontId="14" fillId="0" borderId="1" xfId="0" applyNumberFormat="1" applyFont="1" applyBorder="1" applyAlignment="1">
      <alignment horizontal="justify" vertical="center" wrapText="1"/>
    </xf>
    <xf numFmtId="42" fontId="14" fillId="22" borderId="11" xfId="1" applyFont="1" applyFill="1" applyBorder="1" applyAlignment="1">
      <alignment horizontal="center" vertical="center" wrapText="1"/>
    </xf>
    <xf numFmtId="0" fontId="10" fillId="20" borderId="11" xfId="0" applyFont="1" applyFill="1" applyBorder="1" applyAlignment="1">
      <alignment horizontal="center" vertical="center" wrapText="1"/>
    </xf>
    <xf numFmtId="0" fontId="18" fillId="20" borderId="11" xfId="0" applyFont="1" applyFill="1" applyBorder="1" applyAlignment="1">
      <alignment horizontal="center" vertical="center" wrapText="1"/>
    </xf>
    <xf numFmtId="42" fontId="14" fillId="20" borderId="1" xfId="1" applyFont="1" applyFill="1" applyBorder="1" applyAlignment="1">
      <alignment horizontal="center" vertical="center" wrapText="1"/>
    </xf>
    <xf numFmtId="0" fontId="14"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10" fillId="20" borderId="8" xfId="0" applyFont="1" applyFill="1" applyBorder="1" applyAlignment="1">
      <alignment horizontal="center" vertical="center" wrapText="1"/>
    </xf>
    <xf numFmtId="42" fontId="10" fillId="20" borderId="8" xfId="1" applyFont="1" applyFill="1" applyBorder="1" applyAlignment="1">
      <alignment vertical="center" wrapText="1"/>
    </xf>
    <xf numFmtId="0" fontId="10" fillId="20" borderId="2" xfId="0" applyFont="1" applyFill="1" applyBorder="1" applyAlignment="1">
      <alignment horizontal="center" vertical="center" wrapText="1"/>
    </xf>
    <xf numFmtId="0" fontId="12" fillId="22" borderId="15" xfId="0" applyFont="1" applyFill="1" applyBorder="1" applyAlignment="1">
      <alignment horizontal="center" vertical="center" wrapText="1"/>
    </xf>
    <xf numFmtId="42" fontId="14" fillId="22" borderId="1" xfId="1" applyFont="1" applyFill="1" applyBorder="1" applyAlignment="1">
      <alignment horizontal="center" vertical="center" wrapText="1"/>
    </xf>
    <xf numFmtId="42" fontId="10" fillId="22" borderId="1" xfId="1" applyFont="1" applyFill="1" applyBorder="1" applyAlignment="1">
      <alignment vertical="center" wrapText="1"/>
    </xf>
    <xf numFmtId="42" fontId="10" fillId="22" borderId="8" xfId="1" applyFont="1" applyFill="1" applyBorder="1" applyAlignment="1">
      <alignment vertical="center" wrapText="1"/>
    </xf>
    <xf numFmtId="0" fontId="10" fillId="22" borderId="2" xfId="0" applyFont="1" applyFill="1" applyBorder="1" applyAlignment="1">
      <alignment horizontal="center" vertical="center" wrapText="1"/>
    </xf>
    <xf numFmtId="42" fontId="10" fillId="22" borderId="1" xfId="1" applyFont="1" applyFill="1" applyBorder="1" applyAlignment="1">
      <alignment horizontal="center" vertical="center" wrapText="1"/>
    </xf>
    <xf numFmtId="42" fontId="10" fillId="22" borderId="8" xfId="1" applyFont="1" applyFill="1" applyBorder="1" applyAlignment="1">
      <alignment horizontal="center" vertical="center" wrapText="1"/>
    </xf>
    <xf numFmtId="0" fontId="10" fillId="22" borderId="11" xfId="0" applyFont="1" applyFill="1" applyBorder="1" applyAlignment="1">
      <alignment horizontal="center" vertical="center" wrapText="1"/>
    </xf>
    <xf numFmtId="0" fontId="10" fillId="20" borderId="8" xfId="0" applyFont="1" applyFill="1" applyBorder="1" applyAlignment="1">
      <alignment horizontal="justify" vertical="center" wrapText="1"/>
    </xf>
    <xf numFmtId="42" fontId="10" fillId="20" borderId="8" xfId="1" applyFont="1" applyFill="1" applyBorder="1" applyAlignment="1">
      <alignment horizontal="center" vertical="center" wrapText="1"/>
    </xf>
    <xf numFmtId="9" fontId="10" fillId="20" borderId="11" xfId="0" applyNumberFormat="1" applyFont="1" applyFill="1" applyBorder="1" applyAlignment="1">
      <alignment horizontal="center" vertical="center" wrapText="1"/>
    </xf>
    <xf numFmtId="0" fontId="10" fillId="13" borderId="23" xfId="0" applyFont="1" applyFill="1" applyBorder="1" applyAlignment="1">
      <alignment horizontal="center" vertical="center"/>
    </xf>
    <xf numFmtId="0" fontId="10" fillId="13" borderId="0" xfId="0" applyFont="1" applyFill="1" applyAlignment="1">
      <alignment horizontal="center" vertical="center"/>
    </xf>
    <xf numFmtId="0" fontId="10" fillId="3" borderId="0" xfId="0" applyFont="1" applyFill="1" applyAlignment="1">
      <alignment horizontal="center" vertical="center"/>
    </xf>
    <xf numFmtId="9" fontId="17" fillId="15" borderId="17" xfId="0" applyNumberFormat="1" applyFont="1" applyFill="1" applyBorder="1" applyAlignment="1">
      <alignment vertical="center"/>
    </xf>
    <xf numFmtId="0" fontId="0" fillId="20" borderId="3" xfId="0" applyFill="1" applyBorder="1" applyAlignment="1">
      <alignment horizontal="center" vertical="center" wrapText="1"/>
    </xf>
    <xf numFmtId="0" fontId="0" fillId="19" borderId="11" xfId="0" applyFill="1" applyBorder="1" applyAlignment="1">
      <alignment horizontal="center" vertical="center" wrapText="1"/>
    </xf>
    <xf numFmtId="0" fontId="13" fillId="3" borderId="0" xfId="0" applyFont="1" applyFill="1" applyAlignment="1">
      <alignment horizontal="center" vertical="center"/>
    </xf>
    <xf numFmtId="0" fontId="18" fillId="19" borderId="11" xfId="0" applyFont="1" applyFill="1" applyBorder="1" applyAlignment="1">
      <alignment horizontal="center" vertical="center" wrapText="1"/>
    </xf>
    <xf numFmtId="42" fontId="10" fillId="19" borderId="11" xfId="1" applyFont="1" applyFill="1" applyBorder="1" applyAlignment="1">
      <alignment horizontal="center" vertical="center" wrapText="1"/>
    </xf>
    <xf numFmtId="42" fontId="10" fillId="19" borderId="12" xfId="1" applyFont="1" applyFill="1" applyBorder="1" applyAlignment="1">
      <alignment horizontal="center" vertical="center" wrapText="1"/>
    </xf>
    <xf numFmtId="42" fontId="10" fillId="19" borderId="17" xfId="1" applyFont="1" applyFill="1" applyBorder="1" applyAlignment="1">
      <alignment horizontal="center" vertical="center" wrapText="1"/>
    </xf>
    <xf numFmtId="9" fontId="10" fillId="0" borderId="1" xfId="2" applyFont="1" applyBorder="1" applyAlignment="1">
      <alignment horizontal="justify" vertical="center" wrapText="1"/>
    </xf>
    <xf numFmtId="0" fontId="10" fillId="20" borderId="1" xfId="0" applyFont="1" applyFill="1" applyBorder="1" applyAlignment="1">
      <alignment horizontal="justify" vertical="center" wrapText="1"/>
    </xf>
    <xf numFmtId="9" fontId="10" fillId="20" borderId="11" xfId="2" applyFont="1" applyFill="1" applyBorder="1" applyAlignment="1">
      <alignment horizontal="center" vertical="center" wrapText="1"/>
    </xf>
    <xf numFmtId="9" fontId="14" fillId="0" borderId="1" xfId="0" applyNumberFormat="1" applyFont="1" applyBorder="1" applyAlignment="1">
      <alignment horizontal="center" vertical="center" wrapText="1"/>
    </xf>
    <xf numFmtId="9" fontId="14" fillId="0" borderId="1" xfId="2" applyFont="1" applyBorder="1" applyAlignment="1">
      <alignment horizontal="center" vertical="center" wrapText="1"/>
    </xf>
    <xf numFmtId="9" fontId="10" fillId="20" borderId="1" xfId="2" applyFont="1" applyFill="1" applyBorder="1" applyAlignment="1">
      <alignment horizontal="center" vertical="center" wrapText="1"/>
    </xf>
    <xf numFmtId="42" fontId="10" fillId="0" borderId="1" xfId="0" applyNumberFormat="1" applyFont="1" applyBorder="1" applyAlignment="1">
      <alignment horizontal="center" vertical="center" wrapText="1"/>
    </xf>
    <xf numFmtId="0" fontId="10" fillId="9" borderId="1" xfId="1" applyNumberFormat="1" applyFont="1" applyFill="1" applyBorder="1" applyAlignment="1">
      <alignment horizontal="center" vertical="center" wrapText="1"/>
    </xf>
    <xf numFmtId="0" fontId="10" fillId="18" borderId="1" xfId="1" applyNumberFormat="1" applyFont="1" applyFill="1" applyBorder="1" applyAlignment="1">
      <alignment horizontal="center" vertical="center" wrapText="1"/>
    </xf>
    <xf numFmtId="0" fontId="10" fillId="19" borderId="1" xfId="1" applyNumberFormat="1" applyFont="1" applyFill="1" applyBorder="1" applyAlignment="1">
      <alignment horizontal="center" vertical="center" wrapText="1"/>
    </xf>
    <xf numFmtId="0" fontId="10" fillId="19" borderId="11" xfId="1" applyNumberFormat="1" applyFont="1" applyFill="1" applyBorder="1" applyAlignment="1">
      <alignment horizontal="center" vertical="center" wrapText="1"/>
    </xf>
    <xf numFmtId="0" fontId="10" fillId="7" borderId="1" xfId="2" applyNumberFormat="1"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justify" vertical="center" wrapText="1"/>
    </xf>
    <xf numFmtId="0" fontId="10" fillId="5" borderId="11"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4" fillId="20" borderId="1" xfId="1" applyNumberFormat="1" applyFont="1" applyFill="1" applyBorder="1" applyAlignment="1">
      <alignment horizontal="center" vertical="center" wrapText="1"/>
    </xf>
    <xf numFmtId="9" fontId="14" fillId="20" borderId="1" xfId="2" applyFont="1" applyFill="1" applyBorder="1" applyAlignment="1">
      <alignment horizontal="center" vertical="center" wrapText="1"/>
    </xf>
    <xf numFmtId="0" fontId="13" fillId="4" borderId="1" xfId="0" applyFont="1" applyFill="1" applyBorder="1" applyAlignment="1">
      <alignment vertical="center" wrapText="1"/>
    </xf>
    <xf numFmtId="164" fontId="10" fillId="9" borderId="1" xfId="0" applyNumberFormat="1" applyFont="1" applyFill="1" applyBorder="1" applyAlignment="1">
      <alignment vertical="center" wrapText="1"/>
    </xf>
    <xf numFmtId="0" fontId="0" fillId="0" borderId="1" xfId="0" applyBorder="1" applyAlignment="1">
      <alignment horizontal="center"/>
    </xf>
    <xf numFmtId="0" fontId="33" fillId="22" borderId="1" xfId="0" applyFont="1" applyFill="1" applyBorder="1" applyAlignment="1">
      <alignment horizontal="center"/>
    </xf>
    <xf numFmtId="0" fontId="33" fillId="22" borderId="13" xfId="0" applyFont="1" applyFill="1" applyBorder="1"/>
    <xf numFmtId="0" fontId="0" fillId="0" borderId="49" xfId="0" applyBorder="1"/>
    <xf numFmtId="0" fontId="33" fillId="22" borderId="13" xfId="0" applyFont="1" applyFill="1" applyBorder="1" applyAlignment="1">
      <alignment horizontal="center"/>
    </xf>
    <xf numFmtId="0" fontId="0" fillId="0" borderId="19" xfId="0" applyBorder="1"/>
    <xf numFmtId="0" fontId="0" fillId="0" borderId="7" xfId="0" applyBorder="1" applyAlignment="1">
      <alignment horizontal="center"/>
    </xf>
    <xf numFmtId="9" fontId="0" fillId="0" borderId="1" xfId="0" applyNumberFormat="1" applyBorder="1" applyAlignment="1">
      <alignment horizontal="center"/>
    </xf>
    <xf numFmtId="9" fontId="0" fillId="0" borderId="1" xfId="2" applyFont="1" applyBorder="1" applyAlignment="1">
      <alignment horizontal="center"/>
    </xf>
    <xf numFmtId="9" fontId="0" fillId="0" borderId="7" xfId="0" applyNumberFormat="1" applyBorder="1" applyAlignment="1">
      <alignment horizontal="center"/>
    </xf>
    <xf numFmtId="3" fontId="0" fillId="0" borderId="7" xfId="0" applyNumberFormat="1" applyBorder="1" applyAlignment="1">
      <alignment horizontal="center"/>
    </xf>
    <xf numFmtId="3" fontId="0" fillId="0" borderId="7" xfId="4" applyNumberFormat="1" applyFont="1" applyBorder="1" applyAlignment="1">
      <alignment horizontal="center" vertical="center"/>
    </xf>
    <xf numFmtId="9" fontId="0" fillId="0" borderId="10" xfId="2" applyFont="1" applyBorder="1" applyAlignment="1">
      <alignment horizontal="center"/>
    </xf>
    <xf numFmtId="9" fontId="0" fillId="0" borderId="10" xfId="0" applyNumberFormat="1" applyBorder="1" applyAlignment="1">
      <alignment horizontal="center"/>
    </xf>
    <xf numFmtId="0" fontId="33" fillId="22" borderId="50" xfId="0" applyFont="1" applyFill="1" applyBorder="1"/>
    <xf numFmtId="0" fontId="0" fillId="0" borderId="13" xfId="0" applyBorder="1" applyAlignment="1">
      <alignment horizontal="center"/>
    </xf>
    <xf numFmtId="0" fontId="0" fillId="0" borderId="11" xfId="0" applyBorder="1" applyAlignment="1">
      <alignment horizontal="center"/>
    </xf>
    <xf numFmtId="9" fontId="0" fillId="22" borderId="1" xfId="0" applyNumberFormat="1" applyFill="1" applyBorder="1" applyAlignment="1">
      <alignment horizontal="center"/>
    </xf>
    <xf numFmtId="3" fontId="0" fillId="22" borderId="7" xfId="0" applyNumberFormat="1" applyFill="1" applyBorder="1" applyAlignment="1">
      <alignment horizontal="center"/>
    </xf>
    <xf numFmtId="0" fontId="0" fillId="23" borderId="1" xfId="0" applyFill="1" applyBorder="1" applyAlignment="1">
      <alignment horizontal="center"/>
    </xf>
    <xf numFmtId="0" fontId="0" fillId="23" borderId="7" xfId="0" applyFill="1" applyBorder="1" applyAlignment="1">
      <alignment horizontal="center"/>
    </xf>
    <xf numFmtId="0" fontId="0" fillId="23" borderId="44" xfId="0" applyFill="1" applyBorder="1" applyAlignment="1">
      <alignment horizontal="center"/>
    </xf>
    <xf numFmtId="0" fontId="0" fillId="23" borderId="11" xfId="0" applyFill="1" applyBorder="1" applyAlignment="1">
      <alignment horizontal="center"/>
    </xf>
    <xf numFmtId="0" fontId="0" fillId="23" borderId="13" xfId="0" applyFill="1" applyBorder="1" applyAlignment="1">
      <alignment horizontal="center"/>
    </xf>
    <xf numFmtId="0" fontId="0" fillId="23" borderId="52" xfId="0" applyFill="1" applyBorder="1" applyAlignment="1">
      <alignment horizontal="center"/>
    </xf>
    <xf numFmtId="3" fontId="0" fillId="22" borderId="3" xfId="0" applyNumberFormat="1" applyFill="1" applyBorder="1" applyAlignment="1">
      <alignment horizontal="center"/>
    </xf>
    <xf numFmtId="9" fontId="0" fillId="0" borderId="44" xfId="0" applyNumberFormat="1" applyBorder="1" applyAlignment="1">
      <alignment horizontal="center"/>
    </xf>
    <xf numFmtId="9" fontId="0" fillId="0" borderId="11" xfId="0" applyNumberFormat="1" applyBorder="1" applyAlignment="1">
      <alignment horizontal="center"/>
    </xf>
    <xf numFmtId="9" fontId="0" fillId="22" borderId="3" xfId="0" applyNumberFormat="1" applyFill="1" applyBorder="1" applyAlignment="1">
      <alignment horizontal="center"/>
    </xf>
    <xf numFmtId="0" fontId="0" fillId="22" borderId="3" xfId="0" applyFill="1" applyBorder="1" applyAlignment="1">
      <alignment horizontal="center"/>
    </xf>
    <xf numFmtId="9" fontId="0" fillId="22" borderId="3" xfId="0" applyNumberFormat="1" applyFill="1" applyBorder="1" applyAlignment="1">
      <alignment horizontal="center" vertical="center"/>
    </xf>
    <xf numFmtId="0" fontId="0" fillId="22" borderId="51" xfId="0" applyFill="1" applyBorder="1" applyAlignment="1">
      <alignment horizontal="center"/>
    </xf>
    <xf numFmtId="0" fontId="0" fillId="0" borderId="35" xfId="0" applyBorder="1"/>
    <xf numFmtId="0" fontId="0" fillId="0" borderId="54" xfId="0" applyBorder="1"/>
    <xf numFmtId="0" fontId="0" fillId="0" borderId="45" xfId="0" applyBorder="1"/>
    <xf numFmtId="0" fontId="0" fillId="0" borderId="55" xfId="0" applyBorder="1"/>
    <xf numFmtId="42" fontId="10" fillId="20" borderId="1" xfId="0" applyNumberFormat="1" applyFont="1" applyFill="1" applyBorder="1" applyAlignment="1">
      <alignment horizontal="center" vertical="center" wrapText="1"/>
    </xf>
    <xf numFmtId="44" fontId="10" fillId="9" borderId="1" xfId="1" applyNumberFormat="1" applyFont="1" applyFill="1" applyBorder="1" applyAlignment="1">
      <alignment horizontal="center" vertical="center" wrapText="1"/>
    </xf>
    <xf numFmtId="42" fontId="10" fillId="20" borderId="12" xfId="0" applyNumberFormat="1" applyFont="1" applyFill="1" applyBorder="1" applyAlignment="1">
      <alignment horizontal="center" vertical="center" wrapText="1"/>
    </xf>
    <xf numFmtId="49" fontId="28" fillId="10" borderId="25" xfId="0" applyNumberFormat="1" applyFont="1" applyFill="1" applyBorder="1" applyAlignment="1">
      <alignment vertical="center"/>
    </xf>
    <xf numFmtId="0" fontId="13" fillId="10" borderId="20" xfId="1" applyNumberFormat="1" applyFont="1" applyFill="1" applyBorder="1" applyAlignment="1">
      <alignment horizontal="center" vertical="center" wrapText="1"/>
    </xf>
    <xf numFmtId="0" fontId="12" fillId="24" borderId="1" xfId="0" applyFont="1" applyFill="1" applyBorder="1" applyAlignment="1">
      <alignment horizontal="justify" vertical="center" wrapText="1"/>
    </xf>
    <xf numFmtId="0" fontId="10" fillId="0" borderId="1" xfId="1" applyNumberFormat="1" applyFont="1" applyBorder="1" applyAlignment="1">
      <alignment horizontal="center" vertical="center" wrapText="1"/>
    </xf>
    <xf numFmtId="42" fontId="10" fillId="20" borderId="11" xfId="1" applyFont="1" applyFill="1" applyBorder="1" applyAlignment="1">
      <alignment horizontal="center" vertical="center" wrapText="1"/>
    </xf>
    <xf numFmtId="42" fontId="10" fillId="20" borderId="17" xfId="1" applyFont="1" applyFill="1" applyBorder="1" applyAlignment="1">
      <alignment horizontal="center" vertical="center" wrapText="1"/>
    </xf>
    <xf numFmtId="10" fontId="10" fillId="22" borderId="8" xfId="2" applyNumberFormat="1" applyFont="1" applyFill="1" applyBorder="1" applyAlignment="1">
      <alignment vertical="center" wrapText="1"/>
    </xf>
    <xf numFmtId="10" fontId="14" fillId="22" borderId="1" xfId="2" applyNumberFormat="1" applyFont="1" applyFill="1" applyBorder="1" applyAlignment="1">
      <alignment horizontal="center" vertical="center" wrapText="1"/>
    </xf>
    <xf numFmtId="41" fontId="10" fillId="20" borderId="1" xfId="5" applyFont="1" applyFill="1" applyBorder="1" applyAlignment="1">
      <alignment horizontal="center" vertical="center" wrapText="1"/>
    </xf>
    <xf numFmtId="0" fontId="10" fillId="13" borderId="8" xfId="0" applyFont="1" applyFill="1" applyBorder="1" applyAlignment="1">
      <alignment horizontal="center" vertical="center" wrapText="1"/>
    </xf>
    <xf numFmtId="3" fontId="0" fillId="0" borderId="0" xfId="0" applyNumberFormat="1"/>
    <xf numFmtId="3" fontId="41" fillId="0" borderId="1" xfId="0" applyNumberFormat="1" applyFont="1" applyBorder="1" applyAlignment="1">
      <alignment horizontal="center"/>
    </xf>
    <xf numFmtId="0" fontId="41" fillId="0" borderId="1" xfId="0" applyFont="1" applyBorder="1" applyAlignment="1">
      <alignment horizontal="center"/>
    </xf>
    <xf numFmtId="9" fontId="41" fillId="0" borderId="13" xfId="2" applyFont="1" applyBorder="1" applyAlignment="1">
      <alignment horizontal="center"/>
    </xf>
    <xf numFmtId="0" fontId="40" fillId="22" borderId="50" xfId="0" applyFont="1" applyFill="1" applyBorder="1"/>
    <xf numFmtId="9" fontId="41" fillId="25" borderId="51" xfId="2" applyFont="1" applyFill="1" applyBorder="1" applyAlignment="1">
      <alignment horizontal="center"/>
    </xf>
    <xf numFmtId="0" fontId="13" fillId="0" borderId="49" xfId="0" applyFont="1" applyBorder="1"/>
    <xf numFmtId="3" fontId="40" fillId="22" borderId="3" xfId="0" applyNumberFormat="1" applyFont="1" applyFill="1" applyBorder="1" applyAlignment="1">
      <alignment horizontal="center"/>
    </xf>
    <xf numFmtId="3" fontId="41" fillId="5" borderId="1" xfId="0" applyNumberFormat="1" applyFont="1" applyFill="1" applyBorder="1" applyAlignment="1">
      <alignment horizontal="center"/>
    </xf>
    <xf numFmtId="2" fontId="10" fillId="15" borderId="1" xfId="1" applyNumberFormat="1" applyFont="1" applyFill="1" applyBorder="1" applyAlignment="1">
      <alignment horizontal="center" vertical="center" wrapText="1"/>
    </xf>
    <xf numFmtId="1" fontId="10" fillId="15" borderId="1" xfId="1" applyNumberFormat="1" applyFont="1" applyFill="1" applyBorder="1" applyAlignment="1">
      <alignment horizontal="center" vertical="center" wrapText="1"/>
    </xf>
    <xf numFmtId="42" fontId="10" fillId="0" borderId="0" xfId="1" applyFont="1" applyAlignment="1">
      <alignment vertical="center" wrapText="1"/>
    </xf>
    <xf numFmtId="42" fontId="10" fillId="0" borderId="1" xfId="1" applyFont="1" applyBorder="1" applyAlignment="1">
      <alignment vertical="center" wrapText="1"/>
    </xf>
    <xf numFmtId="0" fontId="10" fillId="13" borderId="12"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10" fillId="13" borderId="12" xfId="0" applyFont="1" applyFill="1" applyBorder="1" applyAlignment="1">
      <alignment horizontal="center" vertical="center"/>
    </xf>
    <xf numFmtId="0" fontId="10" fillId="11" borderId="17" xfId="0" applyFont="1" applyFill="1" applyBorder="1" applyAlignment="1">
      <alignment horizontal="left" vertical="center" wrapText="1"/>
    </xf>
    <xf numFmtId="0" fontId="10" fillId="11" borderId="35" xfId="0" applyFont="1" applyFill="1" applyBorder="1" applyAlignment="1">
      <alignment horizontal="center" vertical="center" wrapText="1"/>
    </xf>
    <xf numFmtId="0" fontId="10" fillId="11" borderId="43" xfId="0" applyFont="1" applyFill="1" applyBorder="1" applyAlignment="1">
      <alignment horizontal="left" vertical="center" wrapText="1"/>
    </xf>
    <xf numFmtId="0" fontId="10" fillId="11" borderId="14" xfId="0" applyFont="1" applyFill="1" applyBorder="1" applyAlignment="1">
      <alignment horizontal="center" vertical="center" wrapText="1"/>
    </xf>
    <xf numFmtId="0" fontId="10" fillId="15" borderId="12" xfId="0" applyFont="1" applyFill="1" applyBorder="1" applyAlignment="1">
      <alignment vertical="center"/>
    </xf>
    <xf numFmtId="0" fontId="10" fillId="15" borderId="11" xfId="0" applyFont="1" applyFill="1" applyBorder="1" applyAlignment="1">
      <alignment vertical="center"/>
    </xf>
    <xf numFmtId="0" fontId="10" fillId="9" borderId="17" xfId="0" applyFont="1" applyFill="1" applyBorder="1" applyAlignment="1">
      <alignment horizontal="center" vertical="center" wrapText="1"/>
    </xf>
    <xf numFmtId="0" fontId="15" fillId="28" borderId="2" xfId="0" applyFont="1" applyFill="1" applyBorder="1" applyAlignment="1">
      <alignment horizontal="justify" vertical="center" wrapText="1"/>
    </xf>
    <xf numFmtId="1" fontId="10" fillId="10" borderId="2" xfId="0" applyNumberFormat="1"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5" fillId="28" borderId="8" xfId="0" applyFont="1" applyFill="1" applyBorder="1" applyAlignment="1">
      <alignment horizontal="justify" vertical="center" wrapText="1"/>
    </xf>
    <xf numFmtId="1" fontId="10" fillId="10" borderId="8" xfId="0" applyNumberFormat="1"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5" fillId="28" borderId="1" xfId="0" applyFont="1" applyFill="1" applyBorder="1" applyAlignment="1">
      <alignment horizontal="justify" vertical="center" wrapText="1"/>
    </xf>
    <xf numFmtId="1" fontId="10" fillId="10" borderId="1" xfId="0" applyNumberFormat="1"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5" fillId="28" borderId="3" xfId="0" applyFont="1" applyFill="1" applyBorder="1" applyAlignment="1">
      <alignment horizontal="justify" vertical="center" wrapText="1"/>
    </xf>
    <xf numFmtId="1" fontId="10" fillId="10" borderId="3" xfId="0" applyNumberFormat="1"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5" fillId="28" borderId="11" xfId="0" applyFont="1" applyFill="1" applyBorder="1" applyAlignment="1">
      <alignment horizontal="justify" vertical="center" wrapText="1"/>
    </xf>
    <xf numFmtId="1" fontId="10" fillId="10" borderId="11" xfId="0" applyNumberFormat="1" applyFont="1" applyFill="1" applyBorder="1" applyAlignment="1">
      <alignment horizontal="center" vertical="center" wrapText="1"/>
    </xf>
    <xf numFmtId="0" fontId="10" fillId="10" borderId="11" xfId="0" applyFont="1" applyFill="1" applyBorder="1" applyAlignment="1">
      <alignment horizontal="center" vertical="center" wrapText="1"/>
    </xf>
    <xf numFmtId="0" fontId="10" fillId="10" borderId="1" xfId="0" applyFont="1" applyFill="1" applyBorder="1" applyAlignment="1">
      <alignment horizontal="justify" vertical="center" wrapText="1"/>
    </xf>
    <xf numFmtId="0" fontId="10" fillId="28" borderId="1" xfId="0" applyFont="1" applyFill="1" applyBorder="1" applyAlignment="1">
      <alignment horizontal="justify" vertical="center" wrapText="1"/>
    </xf>
    <xf numFmtId="0" fontId="10" fillId="28" borderId="11" xfId="0" applyFont="1" applyFill="1" applyBorder="1" applyAlignment="1">
      <alignment horizontal="justify" vertical="center" wrapText="1"/>
    </xf>
    <xf numFmtId="0" fontId="15" fillId="28" borderId="17" xfId="0" applyFont="1" applyFill="1" applyBorder="1" applyAlignment="1">
      <alignment horizontal="justify" vertical="center" wrapText="1"/>
    </xf>
    <xf numFmtId="0" fontId="10" fillId="10" borderId="17" xfId="0" applyFont="1" applyFill="1" applyBorder="1" applyAlignment="1">
      <alignment horizontal="center" vertical="center" wrapText="1"/>
    </xf>
    <xf numFmtId="0" fontId="10" fillId="28" borderId="8" xfId="0" applyFont="1" applyFill="1" applyBorder="1" applyAlignment="1">
      <alignment horizontal="justify" vertical="center" wrapText="1"/>
    </xf>
    <xf numFmtId="41" fontId="14" fillId="10" borderId="1" xfId="5" applyFont="1" applyFill="1" applyBorder="1" applyAlignment="1">
      <alignment horizontal="center" vertical="center" wrapText="1"/>
    </xf>
    <xf numFmtId="0" fontId="10" fillId="10" borderId="3" xfId="0" applyFont="1" applyFill="1" applyBorder="1" applyAlignment="1">
      <alignment horizontal="justify" vertical="center" wrapText="1"/>
    </xf>
    <xf numFmtId="0" fontId="10" fillId="20" borderId="1" xfId="0" applyFont="1" applyFill="1" applyBorder="1" applyAlignment="1">
      <alignment horizontal="center" vertical="center"/>
    </xf>
    <xf numFmtId="0" fontId="10" fillId="20" borderId="1" xfId="0" applyFont="1" applyFill="1" applyBorder="1" applyAlignment="1">
      <alignment vertical="center"/>
    </xf>
    <xf numFmtId="0" fontId="10" fillId="10" borderId="1" xfId="6" applyFont="1" applyFill="1" applyBorder="1" applyAlignment="1">
      <alignment horizontal="center" vertical="center" wrapText="1"/>
    </xf>
    <xf numFmtId="0" fontId="10" fillId="10" borderId="11" xfId="0" applyFont="1" applyFill="1" applyBorder="1" applyAlignment="1">
      <alignment vertical="center" wrapText="1"/>
    </xf>
    <xf numFmtId="0" fontId="18" fillId="0" borderId="11" xfId="0" applyFont="1" applyBorder="1" applyAlignment="1">
      <alignment horizontal="center" vertical="center" wrapText="1"/>
    </xf>
    <xf numFmtId="0" fontId="5" fillId="0" borderId="8" xfId="0" applyFont="1" applyBorder="1" applyAlignment="1">
      <alignment horizontal="center" vertical="center" wrapText="1"/>
    </xf>
    <xf numFmtId="42" fontId="10" fillId="0" borderId="1" xfId="1" applyFont="1" applyFill="1" applyBorder="1" applyAlignment="1">
      <alignment vertical="center" wrapText="1"/>
    </xf>
    <xf numFmtId="42" fontId="10" fillId="0" borderId="1" xfId="1"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wrapText="1"/>
    </xf>
    <xf numFmtId="166" fontId="10" fillId="0" borderId="1" xfId="30" applyNumberFormat="1" applyFont="1" applyBorder="1" applyAlignment="1">
      <alignment vertical="center"/>
    </xf>
    <xf numFmtId="44" fontId="10" fillId="0" borderId="1" xfId="30" applyFont="1" applyBorder="1" applyAlignment="1">
      <alignment vertical="center"/>
    </xf>
    <xf numFmtId="0" fontId="10" fillId="0" borderId="1" xfId="0" applyFont="1" applyBorder="1"/>
    <xf numFmtId="168" fontId="10" fillId="0" borderId="1" xfId="0" applyNumberFormat="1" applyFont="1" applyBorder="1" applyAlignment="1">
      <alignment horizontal="center" vertical="center"/>
    </xf>
    <xf numFmtId="166" fontId="10" fillId="0" borderId="1" xfId="30" applyNumberFormat="1" applyFont="1" applyBorder="1"/>
    <xf numFmtId="44" fontId="10" fillId="0" borderId="1" xfId="0" applyNumberFormat="1" applyFont="1" applyBorder="1"/>
    <xf numFmtId="0" fontId="10" fillId="0" borderId="1" xfId="0" applyFont="1" applyBorder="1" applyAlignment="1">
      <alignment vertical="center" wrapText="1"/>
    </xf>
    <xf numFmtId="166" fontId="14" fillId="0" borderId="1" xfId="0" applyNumberFormat="1" applyFont="1" applyBorder="1" applyAlignment="1">
      <alignment horizontal="center" vertical="center"/>
    </xf>
    <xf numFmtId="168" fontId="14" fillId="0" borderId="1" xfId="0" applyNumberFormat="1" applyFont="1" applyBorder="1" applyAlignment="1">
      <alignment horizontal="center" vertical="center"/>
    </xf>
    <xf numFmtId="0" fontId="10"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18" fillId="3" borderId="3" xfId="0" applyFont="1" applyFill="1" applyBorder="1" applyAlignment="1">
      <alignment horizontal="center" vertical="center" wrapText="1"/>
    </xf>
    <xf numFmtId="0" fontId="13" fillId="15" borderId="17"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15" borderId="17" xfId="0" applyFont="1" applyFill="1" applyBorder="1" applyAlignment="1">
      <alignment horizontal="left" vertical="center" wrapText="1"/>
    </xf>
    <xf numFmtId="0" fontId="10" fillId="3" borderId="17" xfId="0" applyFont="1" applyFill="1" applyBorder="1" applyAlignment="1">
      <alignment vertical="center" wrapText="1"/>
    </xf>
    <xf numFmtId="0" fontId="10" fillId="3" borderId="8" xfId="0" applyFont="1" applyFill="1" applyBorder="1" applyAlignment="1">
      <alignment vertical="center" wrapText="1"/>
    </xf>
    <xf numFmtId="0" fontId="10" fillId="3" borderId="1" xfId="0" applyFont="1" applyFill="1" applyBorder="1" applyAlignment="1">
      <alignment vertical="center" wrapText="1"/>
    </xf>
    <xf numFmtId="42" fontId="10" fillId="0" borderId="1" xfId="0" applyNumberFormat="1" applyFont="1" applyBorder="1" applyAlignment="1">
      <alignment horizontal="justify" vertical="center" wrapText="1"/>
    </xf>
    <xf numFmtId="0" fontId="13" fillId="0" borderId="1" xfId="0" applyFont="1" applyBorder="1" applyAlignment="1">
      <alignment horizontal="center"/>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wrapText="1"/>
    </xf>
    <xf numFmtId="0" fontId="9" fillId="0" borderId="1" xfId="0" applyFont="1" applyBorder="1"/>
    <xf numFmtId="0" fontId="13" fillId="27" borderId="1" xfId="0" applyFont="1" applyFill="1" applyBorder="1"/>
    <xf numFmtId="3" fontId="13" fillId="27" borderId="1" xfId="0" applyNumberFormat="1" applyFont="1" applyFill="1" applyBorder="1" applyAlignment="1">
      <alignment horizontal="center" vertical="center"/>
    </xf>
    <xf numFmtId="0" fontId="9" fillId="0" borderId="1" xfId="0" applyFont="1" applyBorder="1" applyAlignment="1">
      <alignment horizontal="left" vertical="center" wrapText="1"/>
    </xf>
    <xf numFmtId="3" fontId="9" fillId="0" borderId="1" xfId="0" applyNumberFormat="1" applyFont="1" applyBorder="1" applyAlignment="1">
      <alignment horizontal="center" vertical="center"/>
    </xf>
    <xf numFmtId="0" fontId="9" fillId="0" borderId="8" xfId="0" applyFont="1" applyBorder="1"/>
    <xf numFmtId="0" fontId="9" fillId="0" borderId="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1" xfId="0" applyFont="1" applyBorder="1" applyAlignment="1">
      <alignment horizontal="center" vertical="center" wrapText="1"/>
    </xf>
    <xf numFmtId="3" fontId="9" fillId="0" borderId="11" xfId="0" applyNumberFormat="1" applyFont="1" applyBorder="1" applyAlignment="1">
      <alignment horizontal="center" vertical="center"/>
    </xf>
    <xf numFmtId="0" fontId="9" fillId="0" borderId="1" xfId="0" applyFont="1" applyBorder="1" applyAlignment="1">
      <alignment wrapText="1"/>
    </xf>
    <xf numFmtId="0" fontId="14" fillId="0" borderId="1" xfId="0" applyFont="1" applyBorder="1" applyAlignment="1">
      <alignment horizontal="center"/>
    </xf>
    <xf numFmtId="0" fontId="4" fillId="0" borderId="0" xfId="0" applyFont="1"/>
    <xf numFmtId="2" fontId="0" fillId="0" borderId="0" xfId="0" applyNumberFormat="1"/>
    <xf numFmtId="4" fontId="0" fillId="0" borderId="0" xfId="0" applyNumberFormat="1"/>
    <xf numFmtId="3" fontId="10"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vertical="center"/>
    </xf>
    <xf numFmtId="0" fontId="10" fillId="10" borderId="11" xfId="6" applyFont="1" applyFill="1" applyBorder="1" applyAlignment="1">
      <alignment horizontal="center" vertical="center" wrapText="1"/>
    </xf>
    <xf numFmtId="0" fontId="10" fillId="10" borderId="1" xfId="0" applyFont="1" applyFill="1" applyBorder="1" applyAlignment="1">
      <alignment vertical="center" wrapText="1"/>
    </xf>
    <xf numFmtId="0" fontId="10" fillId="18" borderId="8" xfId="0" applyFont="1" applyFill="1" applyBorder="1" applyAlignment="1">
      <alignment vertical="center"/>
    </xf>
    <xf numFmtId="44" fontId="9" fillId="0" borderId="1" xfId="30" applyFont="1" applyBorder="1" applyAlignment="1">
      <alignment horizontal="center" vertical="center" wrapText="1"/>
    </xf>
    <xf numFmtId="44" fontId="0" fillId="0" borderId="0" xfId="0" applyNumberFormat="1"/>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44" fontId="9" fillId="0" borderId="8" xfId="30" applyFont="1" applyBorder="1" applyAlignment="1">
      <alignment horizontal="center" vertical="center" wrapText="1"/>
    </xf>
    <xf numFmtId="0" fontId="9" fillId="0" borderId="8" xfId="0" applyFont="1" applyBorder="1" applyAlignment="1">
      <alignment horizontal="left" vertical="center" wrapText="1"/>
    </xf>
    <xf numFmtId="0" fontId="9" fillId="0" borderId="17" xfId="0" applyFont="1" applyBorder="1" applyAlignment="1">
      <alignment horizontal="left" vertical="center" wrapText="1"/>
    </xf>
    <xf numFmtId="44" fontId="13" fillId="27" borderId="1" xfId="0" applyNumberFormat="1" applyFont="1" applyFill="1" applyBorder="1"/>
    <xf numFmtId="0" fontId="44" fillId="0" borderId="1" xfId="0" applyFont="1" applyBorder="1" applyAlignment="1">
      <alignment horizontal="left" vertical="center" wrapText="1"/>
    </xf>
    <xf numFmtId="44" fontId="44" fillId="0" borderId="1" xfId="30" applyFont="1" applyBorder="1" applyAlignment="1">
      <alignment horizontal="center" vertical="center" wrapText="1"/>
    </xf>
    <xf numFmtId="1" fontId="18" fillId="15" borderId="1" xfId="0" applyNumberFormat="1" applyFont="1" applyFill="1" applyBorder="1" applyAlignment="1">
      <alignment horizontal="center" vertical="center" wrapText="1"/>
    </xf>
    <xf numFmtId="1" fontId="10" fillId="15" borderId="1" xfId="0" applyNumberFormat="1" applyFont="1" applyFill="1" applyBorder="1" applyAlignment="1">
      <alignment horizontal="center" vertical="center" wrapText="1"/>
    </xf>
    <xf numFmtId="2" fontId="10" fillId="15" borderId="1" xfId="0" applyNumberFormat="1" applyFont="1" applyFill="1" applyBorder="1" applyAlignment="1">
      <alignment horizontal="center" vertical="center" wrapText="1"/>
    </xf>
    <xf numFmtId="0" fontId="10" fillId="16" borderId="1" xfId="0" applyFont="1" applyFill="1" applyBorder="1" applyAlignment="1">
      <alignment horizontal="justify" vertical="center" wrapText="1"/>
    </xf>
    <xf numFmtId="165" fontId="14" fillId="15" borderId="1" xfId="5" applyNumberFormat="1" applyFont="1" applyFill="1" applyBorder="1" applyAlignment="1">
      <alignment horizontal="center" vertical="center" wrapText="1"/>
    </xf>
    <xf numFmtId="41" fontId="14" fillId="15" borderId="1" xfId="5" applyFont="1" applyFill="1" applyBorder="1" applyAlignment="1">
      <alignment horizontal="center" vertical="center" wrapText="1"/>
    </xf>
    <xf numFmtId="0" fontId="10" fillId="15" borderId="1" xfId="1" applyNumberFormat="1" applyFont="1" applyFill="1" applyBorder="1" applyAlignment="1">
      <alignment horizontal="center" vertical="center" wrapText="1"/>
    </xf>
    <xf numFmtId="0" fontId="10" fillId="15" borderId="1" xfId="10" applyNumberFormat="1" applyFont="1" applyFill="1" applyBorder="1" applyAlignment="1">
      <alignment horizontal="center" vertical="center" wrapText="1"/>
    </xf>
    <xf numFmtId="2" fontId="10" fillId="15" borderId="2" xfId="0" applyNumberFormat="1" applyFont="1" applyFill="1" applyBorder="1" applyAlignment="1">
      <alignment horizontal="center" vertical="center" wrapText="1"/>
    </xf>
    <xf numFmtId="9" fontId="10" fillId="15" borderId="1" xfId="1" applyNumberFormat="1" applyFont="1" applyFill="1" applyBorder="1" applyAlignment="1">
      <alignment horizontal="center" vertical="center" wrapText="1"/>
    </xf>
    <xf numFmtId="0" fontId="10" fillId="15" borderId="11" xfId="1" applyNumberFormat="1" applyFont="1" applyFill="1" applyBorder="1" applyAlignment="1">
      <alignment horizontal="center" vertical="center" wrapText="1"/>
    </xf>
    <xf numFmtId="0" fontId="13" fillId="15" borderId="20" xfId="1" applyNumberFormat="1"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15" borderId="1" xfId="5" applyNumberFormat="1" applyFont="1" applyFill="1" applyBorder="1" applyAlignment="1">
      <alignment horizontal="center" vertical="center" wrapText="1"/>
    </xf>
    <xf numFmtId="0" fontId="10" fillId="15" borderId="1" xfId="2" applyNumberFormat="1"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19" borderId="8" xfId="1" applyNumberFormat="1" applyFont="1" applyFill="1" applyBorder="1" applyAlignment="1">
      <alignment horizontal="center" vertical="center" wrapText="1"/>
    </xf>
    <xf numFmtId="0" fontId="0" fillId="0" borderId="1" xfId="0" applyBorder="1"/>
    <xf numFmtId="0" fontId="0" fillId="3" borderId="1" xfId="0" applyFill="1" applyBorder="1" applyAlignment="1">
      <alignment horizontal="center"/>
    </xf>
    <xf numFmtId="9" fontId="0" fillId="3" borderId="1" xfId="2" applyFont="1" applyFill="1" applyBorder="1" applyAlignment="1">
      <alignment horizontal="center"/>
    </xf>
    <xf numFmtId="1" fontId="0" fillId="3" borderId="1" xfId="2" applyNumberFormat="1" applyFont="1" applyFill="1" applyBorder="1" applyAlignment="1">
      <alignment horizontal="center"/>
    </xf>
    <xf numFmtId="2" fontId="0" fillId="3" borderId="1" xfId="2" applyNumberFormat="1" applyFont="1" applyFill="1" applyBorder="1" applyAlignment="1">
      <alignment horizontal="center"/>
    </xf>
    <xf numFmtId="3" fontId="33" fillId="3" borderId="1" xfId="0" applyNumberFormat="1" applyFont="1" applyFill="1" applyBorder="1" applyAlignment="1">
      <alignment horizontal="center"/>
    </xf>
    <xf numFmtId="1" fontId="33" fillId="26" borderId="1" xfId="0" applyNumberFormat="1" applyFont="1" applyFill="1" applyBorder="1" applyAlignment="1">
      <alignment horizontal="center" vertical="center" wrapText="1"/>
    </xf>
    <xf numFmtId="3" fontId="33" fillId="3" borderId="1" xfId="0" applyNumberFormat="1" applyFont="1" applyFill="1" applyBorder="1" applyAlignment="1">
      <alignment horizontal="center" vertical="center"/>
    </xf>
    <xf numFmtId="3" fontId="33" fillId="3" borderId="8" xfId="0" applyNumberFormat="1" applyFont="1" applyFill="1" applyBorder="1" applyAlignment="1">
      <alignment horizontal="center" vertical="center"/>
    </xf>
    <xf numFmtId="1" fontId="33" fillId="3" borderId="8" xfId="0" applyNumberFormat="1" applyFont="1" applyFill="1" applyBorder="1" applyAlignment="1">
      <alignment horizontal="center" vertical="center"/>
    </xf>
    <xf numFmtId="3" fontId="33" fillId="0" borderId="1" xfId="0" applyNumberFormat="1" applyFont="1" applyBorder="1" applyAlignment="1">
      <alignment horizontal="center" vertical="center"/>
    </xf>
    <xf numFmtId="1" fontId="33" fillId="0" borderId="1" xfId="0" applyNumberFormat="1" applyFont="1" applyBorder="1" applyAlignment="1">
      <alignment horizontal="center" vertical="center"/>
    </xf>
    <xf numFmtId="0" fontId="0" fillId="0" borderId="1" xfId="0" applyBorder="1" applyAlignment="1">
      <alignment horizontal="center" vertical="center"/>
    </xf>
    <xf numFmtId="0" fontId="0" fillId="23" borderId="1" xfId="0" applyFill="1" applyBorder="1"/>
    <xf numFmtId="0" fontId="33" fillId="0" borderId="1" xfId="0" applyFont="1" applyBorder="1"/>
    <xf numFmtId="1" fontId="33" fillId="0" borderId="1" xfId="0" applyNumberFormat="1" applyFont="1" applyBorder="1" applyAlignment="1">
      <alignment horizontal="center"/>
    </xf>
    <xf numFmtId="0" fontId="33" fillId="0" borderId="10" xfId="0" applyFont="1" applyBorder="1"/>
    <xf numFmtId="1" fontId="33" fillId="0" borderId="29" xfId="0" applyNumberFormat="1" applyFont="1" applyBorder="1" applyAlignment="1">
      <alignment horizontal="center"/>
    </xf>
    <xf numFmtId="0" fontId="33" fillId="0" borderId="29" xfId="0" applyFont="1" applyBorder="1"/>
    <xf numFmtId="1" fontId="33" fillId="0" borderId="7" xfId="0" applyNumberFormat="1" applyFont="1" applyBorder="1" applyAlignment="1">
      <alignment horizontal="center"/>
    </xf>
    <xf numFmtId="0" fontId="10" fillId="5" borderId="1" xfId="0" applyFont="1" applyFill="1" applyBorder="1" applyAlignment="1">
      <alignment horizontal="center" vertical="center"/>
    </xf>
    <xf numFmtId="0" fontId="0" fillId="7" borderId="1" xfId="0" applyFill="1" applyBorder="1"/>
    <xf numFmtId="0" fontId="33" fillId="22" borderId="1" xfId="0" applyFont="1" applyFill="1" applyBorder="1"/>
    <xf numFmtId="3" fontId="0" fillId="22" borderId="1" xfId="0" applyNumberFormat="1" applyFill="1" applyBorder="1" applyAlignment="1">
      <alignment horizontal="center"/>
    </xf>
    <xf numFmtId="42" fontId="14" fillId="24" borderId="1" xfId="3" applyFont="1" applyFill="1" applyBorder="1" applyAlignment="1">
      <alignment horizontal="center" vertical="center" wrapText="1"/>
    </xf>
    <xf numFmtId="42" fontId="10" fillId="0" borderId="1" xfId="3" applyFont="1" applyBorder="1" applyAlignment="1">
      <alignment horizontal="center" vertical="center" wrapText="1"/>
    </xf>
    <xf numFmtId="0" fontId="10" fillId="0" borderId="1" xfId="3" applyNumberFormat="1" applyFont="1" applyBorder="1" applyAlignment="1">
      <alignment horizontal="center" vertical="center" wrapText="1"/>
    </xf>
    <xf numFmtId="9" fontId="10" fillId="0" borderId="1" xfId="7" applyFont="1" applyBorder="1" applyAlignment="1">
      <alignment horizontal="center" vertical="center" wrapText="1"/>
    </xf>
    <xf numFmtId="0" fontId="20" fillId="30" borderId="64" xfId="0" applyFont="1" applyFill="1" applyBorder="1" applyAlignment="1">
      <alignment horizontal="center" vertical="center" wrapText="1"/>
    </xf>
    <xf numFmtId="0" fontId="20" fillId="30" borderId="2" xfId="0" applyFont="1" applyFill="1" applyBorder="1" applyAlignment="1">
      <alignment horizontal="center" vertical="center" wrapText="1"/>
    </xf>
    <xf numFmtId="0" fontId="11" fillId="30" borderId="2" xfId="0" applyFont="1" applyFill="1" applyBorder="1" applyAlignment="1">
      <alignment horizontal="center" vertical="center" wrapText="1"/>
    </xf>
    <xf numFmtId="0" fontId="20" fillId="17" borderId="2" xfId="0" applyFont="1" applyFill="1" applyBorder="1" applyAlignment="1">
      <alignment horizontal="center" vertical="center" wrapText="1"/>
    </xf>
    <xf numFmtId="0" fontId="20" fillId="31" borderId="65" xfId="0" applyFont="1" applyFill="1" applyBorder="1" applyAlignment="1">
      <alignment horizontal="center" vertical="center" wrapText="1"/>
    </xf>
    <xf numFmtId="0" fontId="15" fillId="30" borderId="1" xfId="0" applyFont="1" applyFill="1" applyBorder="1" applyAlignment="1">
      <alignment horizontal="justify" vertical="center" wrapText="1"/>
    </xf>
    <xf numFmtId="9" fontId="15" fillId="30" borderId="1" xfId="0" applyNumberFormat="1" applyFont="1" applyFill="1" applyBorder="1" applyAlignment="1">
      <alignment horizontal="center" vertical="center" wrapText="1"/>
    </xf>
    <xf numFmtId="9" fontId="15" fillId="30" borderId="1" xfId="2" applyFont="1" applyFill="1" applyBorder="1" applyAlignment="1">
      <alignment horizontal="center" vertical="center" wrapText="1"/>
    </xf>
    <xf numFmtId="9" fontId="15" fillId="17" borderId="1" xfId="2" applyFont="1" applyFill="1" applyBorder="1" applyAlignment="1">
      <alignment horizontal="center" vertical="center" wrapText="1"/>
    </xf>
    <xf numFmtId="9" fontId="10" fillId="23" borderId="13" xfId="0" applyNumberFormat="1" applyFont="1" applyFill="1" applyBorder="1" applyAlignment="1">
      <alignment horizontal="center" vertical="center"/>
    </xf>
    <xf numFmtId="10" fontId="15" fillId="30" borderId="1" xfId="0" applyNumberFormat="1" applyFont="1" applyFill="1" applyBorder="1" applyAlignment="1">
      <alignment horizontal="center" vertical="center" wrapText="1"/>
    </xf>
    <xf numFmtId="0" fontId="20" fillId="30" borderId="1" xfId="0" applyFont="1" applyFill="1" applyBorder="1" applyAlignment="1">
      <alignment horizontal="center" vertical="center" wrapText="1"/>
    </xf>
    <xf numFmtId="0" fontId="11" fillId="30" borderId="1" xfId="0" applyFont="1" applyFill="1" applyBorder="1" applyAlignment="1">
      <alignment horizontal="center" vertical="center" wrapText="1"/>
    </xf>
    <xf numFmtId="0" fontId="15" fillId="30" borderId="1" xfId="0" applyFont="1" applyFill="1" applyBorder="1" applyAlignment="1">
      <alignment horizontal="center" vertical="center" wrapText="1"/>
    </xf>
    <xf numFmtId="0" fontId="16" fillId="30" borderId="1" xfId="0" applyFont="1" applyFill="1" applyBorder="1" applyAlignment="1">
      <alignment horizontal="center" vertical="center" wrapText="1"/>
    </xf>
    <xf numFmtId="10" fontId="15" fillId="17" borderId="1" xfId="2" applyNumberFormat="1" applyFont="1" applyFill="1" applyBorder="1" applyAlignment="1">
      <alignment horizontal="center" vertical="center" wrapText="1"/>
    </xf>
    <xf numFmtId="10" fontId="10" fillId="23" borderId="13" xfId="0" applyNumberFormat="1" applyFont="1" applyFill="1" applyBorder="1" applyAlignment="1">
      <alignment horizontal="center" vertical="center"/>
    </xf>
    <xf numFmtId="9" fontId="16" fillId="30" borderId="1" xfId="0" applyNumberFormat="1" applyFont="1" applyFill="1" applyBorder="1" applyAlignment="1">
      <alignment horizontal="center" vertical="center" wrapText="1"/>
    </xf>
    <xf numFmtId="169" fontId="15" fillId="30" borderId="1" xfId="0" applyNumberFormat="1" applyFont="1" applyFill="1" applyBorder="1" applyAlignment="1">
      <alignment horizontal="center" vertical="center" wrapText="1"/>
    </xf>
    <xf numFmtId="2" fontId="15" fillId="30" borderId="1" xfId="0" applyNumberFormat="1" applyFont="1" applyFill="1" applyBorder="1" applyAlignment="1">
      <alignment horizontal="center" vertical="center" wrapText="1"/>
    </xf>
    <xf numFmtId="1" fontId="15" fillId="30" borderId="1" xfId="2" applyNumberFormat="1" applyFont="1" applyFill="1" applyBorder="1" applyAlignment="1">
      <alignment horizontal="center" vertical="center" wrapText="1"/>
    </xf>
    <xf numFmtId="0" fontId="15" fillId="30" borderId="3" xfId="0" applyFont="1" applyFill="1" applyBorder="1" applyAlignment="1">
      <alignment horizontal="justify" vertical="center" wrapText="1"/>
    </xf>
    <xf numFmtId="9" fontId="15" fillId="30" borderId="3" xfId="0" applyNumberFormat="1" applyFont="1" applyFill="1" applyBorder="1" applyAlignment="1">
      <alignment horizontal="center" vertical="center" wrapText="1"/>
    </xf>
    <xf numFmtId="9" fontId="15" fillId="30" borderId="3" xfId="2" applyFont="1" applyFill="1" applyBorder="1" applyAlignment="1">
      <alignment horizontal="center" vertical="center" wrapText="1"/>
    </xf>
    <xf numFmtId="9" fontId="15" fillId="17" borderId="3" xfId="2" applyFont="1" applyFill="1" applyBorder="1" applyAlignment="1">
      <alignment horizontal="center" vertical="center" wrapText="1"/>
    </xf>
    <xf numFmtId="9" fontId="10" fillId="23" borderId="51" xfId="0" applyNumberFormat="1" applyFont="1" applyFill="1" applyBorder="1" applyAlignment="1">
      <alignment horizontal="center" vertical="center"/>
    </xf>
    <xf numFmtId="0" fontId="20" fillId="32" borderId="42" xfId="0" applyFont="1" applyFill="1" applyBorder="1" applyAlignment="1">
      <alignment horizontal="center" vertical="center" wrapText="1"/>
    </xf>
    <xf numFmtId="0" fontId="20" fillId="32" borderId="8" xfId="0" applyFont="1" applyFill="1" applyBorder="1" applyAlignment="1">
      <alignment horizontal="center" vertical="center" wrapText="1"/>
    </xf>
    <xf numFmtId="0" fontId="11" fillId="32" borderId="8" xfId="0" applyFont="1" applyFill="1" applyBorder="1" applyAlignment="1">
      <alignment horizontal="center" vertical="center" wrapText="1"/>
    </xf>
    <xf numFmtId="0" fontId="0" fillId="0" borderId="8" xfId="0" applyBorder="1"/>
    <xf numFmtId="9" fontId="10" fillId="23" borderId="8" xfId="0" applyNumberFormat="1" applyFont="1" applyFill="1" applyBorder="1" applyAlignment="1">
      <alignment horizontal="center" vertical="center"/>
    </xf>
    <xf numFmtId="0" fontId="15" fillId="32" borderId="1" xfId="0" applyFont="1" applyFill="1" applyBorder="1" applyAlignment="1">
      <alignment horizontal="justify" vertical="center" wrapText="1"/>
    </xf>
    <xf numFmtId="9" fontId="15" fillId="32" borderId="1" xfId="0" applyNumberFormat="1" applyFont="1" applyFill="1" applyBorder="1" applyAlignment="1">
      <alignment horizontal="center" vertical="center" wrapText="1"/>
    </xf>
    <xf numFmtId="9" fontId="15" fillId="32" borderId="1" xfId="2" applyFont="1" applyFill="1" applyBorder="1" applyAlignment="1">
      <alignment horizontal="center" vertical="center" wrapText="1"/>
    </xf>
    <xf numFmtId="10" fontId="10" fillId="23" borderId="1" xfId="0" applyNumberFormat="1" applyFont="1" applyFill="1" applyBorder="1" applyAlignment="1">
      <alignment horizontal="center" vertical="center"/>
    </xf>
    <xf numFmtId="169" fontId="15" fillId="32" borderId="1" xfId="2" applyNumberFormat="1" applyFont="1" applyFill="1" applyBorder="1" applyAlignment="1">
      <alignment horizontal="center" vertical="center" wrapText="1"/>
    </xf>
    <xf numFmtId="9" fontId="10" fillId="23" borderId="1" xfId="0" applyNumberFormat="1" applyFont="1" applyFill="1" applyBorder="1" applyAlignment="1">
      <alignment horizontal="center" vertical="center"/>
    </xf>
    <xf numFmtId="1" fontId="15" fillId="32" borderId="1" xfId="2" applyNumberFormat="1" applyFont="1" applyFill="1" applyBorder="1" applyAlignment="1">
      <alignment horizontal="center" vertical="center" wrapText="1"/>
    </xf>
    <xf numFmtId="0" fontId="20" fillId="32" borderId="1" xfId="0" applyFont="1" applyFill="1" applyBorder="1" applyAlignment="1">
      <alignment horizontal="center" vertical="center" wrapText="1"/>
    </xf>
    <xf numFmtId="0" fontId="11" fillId="32" borderId="1" xfId="0" applyFont="1" applyFill="1" applyBorder="1" applyAlignment="1">
      <alignment horizontal="center" vertical="center" wrapText="1"/>
    </xf>
    <xf numFmtId="169" fontId="15" fillId="32" borderId="1" xfId="0" applyNumberFormat="1" applyFont="1" applyFill="1" applyBorder="1" applyAlignment="1">
      <alignment horizontal="center" vertical="center" wrapText="1"/>
    </xf>
    <xf numFmtId="10" fontId="15" fillId="32" borderId="1" xfId="0" applyNumberFormat="1" applyFont="1" applyFill="1" applyBorder="1" applyAlignment="1">
      <alignment horizontal="center" vertical="center" wrapText="1"/>
    </xf>
    <xf numFmtId="0" fontId="15" fillId="32" borderId="1" xfId="0" applyFont="1" applyFill="1" applyBorder="1" applyAlignment="1">
      <alignment horizontal="center" vertical="center" wrapText="1"/>
    </xf>
    <xf numFmtId="10" fontId="10" fillId="33" borderId="1" xfId="0" applyNumberFormat="1" applyFont="1" applyFill="1" applyBorder="1" applyAlignment="1">
      <alignment horizontal="center" vertical="center"/>
    </xf>
    <xf numFmtId="1" fontId="0" fillId="0" borderId="0" xfId="0" applyNumberFormat="1"/>
    <xf numFmtId="0" fontId="15" fillId="32" borderId="11" xfId="0" applyFont="1" applyFill="1" applyBorder="1" applyAlignment="1">
      <alignment horizontal="justify" vertical="center" wrapText="1"/>
    </xf>
    <xf numFmtId="9" fontId="15" fillId="32" borderId="11" xfId="2" applyFont="1" applyFill="1" applyBorder="1" applyAlignment="1">
      <alignment horizontal="center" vertical="center" wrapText="1"/>
    </xf>
    <xf numFmtId="169" fontId="10" fillId="23" borderId="1" xfId="0" applyNumberFormat="1" applyFont="1" applyFill="1" applyBorder="1" applyAlignment="1">
      <alignment horizontal="center" vertical="center"/>
    </xf>
    <xf numFmtId="0" fontId="45" fillId="6" borderId="0" xfId="0" applyFont="1" applyFill="1"/>
    <xf numFmtId="0" fontId="0" fillId="6" borderId="0" xfId="0" applyFill="1"/>
    <xf numFmtId="169" fontId="15" fillId="17" borderId="1" xfId="2" applyNumberFormat="1" applyFont="1" applyFill="1" applyBorder="1" applyAlignment="1">
      <alignment horizontal="center" vertical="center" wrapText="1"/>
    </xf>
    <xf numFmtId="169" fontId="15" fillId="30" borderId="1" xfId="2" applyNumberFormat="1" applyFont="1" applyFill="1" applyBorder="1" applyAlignment="1">
      <alignment horizontal="center" vertical="center" wrapText="1"/>
    </xf>
    <xf numFmtId="3" fontId="15" fillId="30" borderId="1" xfId="2" applyNumberFormat="1" applyFont="1" applyFill="1" applyBorder="1" applyAlignment="1">
      <alignment horizontal="center" vertical="center" wrapText="1"/>
    </xf>
    <xf numFmtId="0" fontId="15" fillId="30" borderId="11" xfId="0" applyFont="1" applyFill="1" applyBorder="1" applyAlignment="1">
      <alignment horizontal="justify" vertical="center" wrapText="1"/>
    </xf>
    <xf numFmtId="9" fontId="15" fillId="30" borderId="11" xfId="2" applyFont="1" applyFill="1" applyBorder="1" applyAlignment="1">
      <alignment horizontal="center" vertical="center" wrapText="1"/>
    </xf>
    <xf numFmtId="0" fontId="20" fillId="32" borderId="64" xfId="0" applyFont="1" applyFill="1" applyBorder="1" applyAlignment="1">
      <alignment horizontal="center" vertical="center" wrapText="1"/>
    </xf>
    <xf numFmtId="0" fontId="20" fillId="32" borderId="2" xfId="0" applyFont="1" applyFill="1" applyBorder="1" applyAlignment="1">
      <alignment horizontal="center" vertical="center" wrapText="1"/>
    </xf>
    <xf numFmtId="0" fontId="11" fillId="32" borderId="2" xfId="0" applyFont="1" applyFill="1" applyBorder="1" applyAlignment="1">
      <alignment horizontal="center" vertical="center" wrapText="1"/>
    </xf>
    <xf numFmtId="0" fontId="16" fillId="32" borderId="1" xfId="0" applyFont="1" applyFill="1" applyBorder="1" applyAlignment="1">
      <alignment horizontal="center" vertical="center" wrapText="1"/>
    </xf>
    <xf numFmtId="9" fontId="10" fillId="33" borderId="1" xfId="0" applyNumberFormat="1" applyFont="1" applyFill="1" applyBorder="1" applyAlignment="1">
      <alignment horizontal="center" vertical="center"/>
    </xf>
    <xf numFmtId="1" fontId="16" fillId="32" borderId="1" xfId="0" applyNumberFormat="1" applyFont="1" applyFill="1" applyBorder="1" applyAlignment="1">
      <alignment horizontal="center" vertical="center" wrapText="1"/>
    </xf>
    <xf numFmtId="10" fontId="15" fillId="32" borderId="1" xfId="2" applyNumberFormat="1" applyFont="1" applyFill="1" applyBorder="1" applyAlignment="1">
      <alignment horizontal="center" vertical="center" wrapText="1"/>
    </xf>
    <xf numFmtId="9" fontId="16" fillId="32" borderId="1" xfId="0" applyNumberFormat="1" applyFont="1" applyFill="1" applyBorder="1" applyAlignment="1">
      <alignment horizontal="center" vertical="center" wrapText="1"/>
    </xf>
    <xf numFmtId="2" fontId="15" fillId="32" borderId="1" xfId="0" applyNumberFormat="1" applyFont="1" applyFill="1" applyBorder="1" applyAlignment="1">
      <alignment horizontal="center" vertical="center" wrapText="1"/>
    </xf>
    <xf numFmtId="168" fontId="16" fillId="32" borderId="1" xfId="0" applyNumberFormat="1" applyFont="1" applyFill="1" applyBorder="1" applyAlignment="1">
      <alignment horizontal="center" vertical="center" wrapText="1"/>
    </xf>
    <xf numFmtId="9" fontId="16" fillId="32" borderId="11" xfId="0" applyNumberFormat="1" applyFont="1" applyFill="1" applyBorder="1" applyAlignment="1">
      <alignment horizontal="center" vertical="center" wrapText="1"/>
    </xf>
    <xf numFmtId="9" fontId="16" fillId="32" borderId="0" xfId="0" applyNumberFormat="1" applyFont="1" applyFill="1" applyAlignment="1">
      <alignment horizontal="center" vertical="center" wrapText="1"/>
    </xf>
    <xf numFmtId="0" fontId="15" fillId="32" borderId="3" xfId="0" applyFont="1" applyFill="1" applyBorder="1" applyAlignment="1">
      <alignment horizontal="justify" vertical="center" wrapText="1"/>
    </xf>
    <xf numFmtId="0" fontId="15" fillId="32" borderId="3" xfId="0" applyFont="1" applyFill="1" applyBorder="1" applyAlignment="1">
      <alignment horizontal="center" vertical="center" wrapText="1"/>
    </xf>
    <xf numFmtId="1" fontId="15" fillId="32" borderId="3" xfId="2" applyNumberFormat="1" applyFont="1" applyFill="1" applyBorder="1" applyAlignment="1">
      <alignment horizontal="center" vertical="center" wrapText="1"/>
    </xf>
    <xf numFmtId="9" fontId="0" fillId="0" borderId="0" xfId="0" applyNumberFormat="1"/>
    <xf numFmtId="0" fontId="13" fillId="22" borderId="1" xfId="0" applyFont="1" applyFill="1" applyBorder="1" applyAlignment="1">
      <alignment vertical="center" wrapText="1"/>
    </xf>
    <xf numFmtId="0" fontId="14" fillId="29" borderId="1" xfId="0" applyFont="1" applyFill="1" applyBorder="1"/>
    <xf numFmtId="0" fontId="0" fillId="3" borderId="1" xfId="0" applyFill="1" applyBorder="1"/>
    <xf numFmtId="3" fontId="0" fillId="3" borderId="1" xfId="0" applyNumberFormat="1" applyFill="1" applyBorder="1" applyAlignment="1">
      <alignment horizontal="center"/>
    </xf>
    <xf numFmtId="1" fontId="33" fillId="7" borderId="1" xfId="0" applyNumberFormat="1" applyFont="1" applyFill="1" applyBorder="1" applyAlignment="1">
      <alignment horizontal="center" vertical="center" wrapText="1"/>
    </xf>
    <xf numFmtId="3" fontId="6" fillId="22" borderId="1" xfId="6" applyNumberFormat="1" applyFill="1" applyBorder="1" applyAlignment="1">
      <alignment horizontal="center"/>
    </xf>
    <xf numFmtId="3" fontId="35" fillId="0" borderId="1" xfId="1" applyNumberFormat="1" applyFont="1" applyBorder="1" applyAlignment="1">
      <alignment horizontal="center" vertical="center" wrapText="1"/>
    </xf>
    <xf numFmtId="0" fontId="12" fillId="35" borderId="1" xfId="0" applyFont="1" applyFill="1" applyBorder="1" applyAlignment="1">
      <alignment horizontal="center" vertical="center" wrapText="1"/>
    </xf>
    <xf numFmtId="0" fontId="10" fillId="35" borderId="1" xfId="0" applyFont="1" applyFill="1" applyBorder="1" applyAlignment="1">
      <alignment horizontal="center" vertical="center"/>
    </xf>
    <xf numFmtId="42" fontId="10" fillId="35" borderId="1" xfId="0" applyNumberFormat="1" applyFont="1" applyFill="1" applyBorder="1" applyAlignment="1">
      <alignment horizontal="center" vertical="center" wrapText="1"/>
    </xf>
    <xf numFmtId="0" fontId="12" fillId="35" borderId="1" xfId="0" applyFont="1" applyFill="1" applyBorder="1" applyAlignment="1">
      <alignment horizontal="justify" vertical="center" wrapText="1"/>
    </xf>
    <xf numFmtId="0" fontId="12" fillId="35" borderId="2" xfId="0" applyFont="1" applyFill="1" applyBorder="1" applyAlignment="1">
      <alignment horizontal="center" vertical="center" wrapText="1"/>
    </xf>
    <xf numFmtId="9" fontId="0" fillId="3" borderId="1" xfId="0" applyNumberFormat="1" applyFill="1" applyBorder="1" applyAlignment="1">
      <alignment horizontal="center"/>
    </xf>
    <xf numFmtId="6" fontId="0" fillId="3" borderId="1" xfId="0" applyNumberFormat="1" applyFill="1" applyBorder="1" applyAlignment="1">
      <alignment horizontal="center"/>
    </xf>
    <xf numFmtId="9" fontId="0" fillId="3" borderId="1" xfId="0" applyNumberFormat="1" applyFill="1" applyBorder="1" applyAlignment="1">
      <alignment horizontal="center" vertical="center"/>
    </xf>
    <xf numFmtId="1" fontId="0" fillId="3" borderId="1" xfId="0" applyNumberFormat="1" applyFill="1" applyBorder="1" applyAlignment="1">
      <alignment horizontal="center"/>
    </xf>
    <xf numFmtId="3" fontId="0" fillId="3" borderId="3" xfId="0" applyNumberFormat="1" applyFill="1" applyBorder="1" applyAlignment="1">
      <alignment horizontal="center"/>
    </xf>
    <xf numFmtId="3" fontId="0" fillId="3" borderId="0" xfId="0" applyNumberFormat="1" applyFill="1" applyAlignment="1">
      <alignment horizontal="center"/>
    </xf>
    <xf numFmtId="0" fontId="0" fillId="3" borderId="0" xfId="0" applyFill="1" applyAlignment="1">
      <alignment horizontal="center"/>
    </xf>
    <xf numFmtId="9" fontId="0" fillId="3" borderId="0" xfId="0" applyNumberFormat="1" applyFill="1" applyAlignment="1">
      <alignment horizontal="center" vertical="center"/>
    </xf>
    <xf numFmtId="0" fontId="0" fillId="3" borderId="0" xfId="0" applyFill="1"/>
    <xf numFmtId="0" fontId="33" fillId="3" borderId="35" xfId="0" applyFont="1" applyFill="1" applyBorder="1"/>
    <xf numFmtId="0" fontId="0" fillId="3" borderId="35" xfId="0" applyFill="1" applyBorder="1"/>
    <xf numFmtId="0" fontId="33" fillId="3" borderId="1" xfId="0" applyFont="1" applyFill="1" applyBorder="1" applyAlignment="1">
      <alignment horizontal="center" vertical="center" wrapText="1"/>
    </xf>
    <xf numFmtId="9" fontId="0" fillId="3" borderId="1" xfId="2" applyFont="1" applyFill="1" applyBorder="1" applyAlignment="1">
      <alignment horizontal="center" vertical="center"/>
    </xf>
    <xf numFmtId="42" fontId="10" fillId="15" borderId="0" xfId="1" applyFont="1" applyFill="1" applyBorder="1" applyAlignment="1">
      <alignment horizontal="center" vertical="center" wrapText="1"/>
    </xf>
    <xf numFmtId="0" fontId="10" fillId="3" borderId="1" xfId="0" applyFont="1" applyFill="1" applyBorder="1" applyAlignment="1">
      <alignment horizontal="justify" vertical="center" wrapText="1"/>
    </xf>
    <xf numFmtId="0" fontId="10" fillId="36" borderId="1" xfId="0" applyFont="1" applyFill="1" applyBorder="1" applyAlignment="1">
      <alignment horizontal="center" vertical="center" wrapText="1"/>
    </xf>
    <xf numFmtId="0" fontId="10" fillId="3" borderId="1" xfId="5" applyNumberFormat="1" applyFont="1" applyFill="1" applyBorder="1" applyAlignment="1">
      <alignment horizontal="center" vertical="center" wrapText="1"/>
    </xf>
    <xf numFmtId="3" fontId="0" fillId="3" borderId="1" xfId="4" applyNumberFormat="1" applyFont="1" applyFill="1" applyBorder="1" applyAlignment="1">
      <alignment horizontal="center" vertical="center"/>
    </xf>
    <xf numFmtId="2" fontId="0" fillId="3" borderId="1" xfId="0" applyNumberFormat="1" applyFill="1" applyBorder="1" applyAlignment="1">
      <alignment horizontal="center"/>
    </xf>
    <xf numFmtId="0" fontId="33" fillId="3" borderId="1" xfId="0" applyFont="1" applyFill="1" applyBorder="1"/>
    <xf numFmtId="3" fontId="0" fillId="3" borderId="1" xfId="0" applyNumberFormat="1" applyFill="1" applyBorder="1" applyAlignment="1">
      <alignment horizontal="center" vertical="center"/>
    </xf>
    <xf numFmtId="0" fontId="10" fillId="3" borderId="3" xfId="0" applyFont="1" applyFill="1" applyBorder="1" applyAlignment="1">
      <alignment horizontal="justify" vertical="center" wrapText="1"/>
    </xf>
    <xf numFmtId="0" fontId="10" fillId="3" borderId="1" xfId="1" applyNumberFormat="1" applyFont="1" applyFill="1" applyBorder="1" applyAlignment="1">
      <alignment horizontal="center" vertical="center" wrapText="1"/>
    </xf>
    <xf numFmtId="3" fontId="0" fillId="26" borderId="7" xfId="0" applyNumberFormat="1" applyFill="1" applyBorder="1" applyAlignment="1">
      <alignment horizontal="center"/>
    </xf>
    <xf numFmtId="9" fontId="0" fillId="26" borderId="1" xfId="2" applyFont="1" applyFill="1" applyBorder="1" applyAlignment="1">
      <alignment horizontal="center"/>
    </xf>
    <xf numFmtId="6" fontId="33" fillId="26" borderId="1" xfId="2" applyNumberFormat="1" applyFont="1" applyFill="1" applyBorder="1" applyAlignment="1">
      <alignment horizontal="center"/>
    </xf>
    <xf numFmtId="0" fontId="0" fillId="26" borderId="1" xfId="0" applyFill="1" applyBorder="1"/>
    <xf numFmtId="0" fontId="0" fillId="26" borderId="1" xfId="0" applyFill="1" applyBorder="1" applyAlignment="1">
      <alignment horizontal="center"/>
    </xf>
    <xf numFmtId="1" fontId="0" fillId="26" borderId="1" xfId="2" applyNumberFormat="1" applyFont="1" applyFill="1" applyBorder="1" applyAlignment="1">
      <alignment horizontal="center"/>
    </xf>
    <xf numFmtId="2" fontId="10" fillId="3" borderId="1" xfId="1" applyNumberFormat="1" applyFont="1" applyFill="1" applyBorder="1" applyAlignment="1">
      <alignment horizontal="center" vertical="center" wrapText="1"/>
    </xf>
    <xf numFmtId="3" fontId="33" fillId="26" borderId="11" xfId="0" applyNumberFormat="1" applyFont="1" applyFill="1" applyBorder="1" applyAlignment="1">
      <alignment horizontal="center"/>
    </xf>
    <xf numFmtId="9" fontId="33" fillId="3" borderId="1" xfId="0" applyNumberFormat="1" applyFont="1" applyFill="1" applyBorder="1" applyAlignment="1">
      <alignment horizontal="center"/>
    </xf>
    <xf numFmtId="9" fontId="33" fillId="3" borderId="1" xfId="0" applyNumberFormat="1" applyFont="1" applyFill="1" applyBorder="1" applyAlignment="1">
      <alignment horizontal="center" vertical="center"/>
    </xf>
    <xf numFmtId="0" fontId="33" fillId="3" borderId="1" xfId="0" applyFont="1" applyFill="1" applyBorder="1" applyAlignment="1">
      <alignment horizontal="center"/>
    </xf>
    <xf numFmtId="3" fontId="21" fillId="3" borderId="58" xfId="6" applyNumberFormat="1" applyFont="1" applyFill="1" applyBorder="1" applyAlignment="1">
      <alignment horizontal="right" vertical="center"/>
    </xf>
    <xf numFmtId="9" fontId="33" fillId="3" borderId="1" xfId="2" applyFont="1" applyFill="1" applyBorder="1" applyAlignment="1">
      <alignment horizontal="center"/>
    </xf>
    <xf numFmtId="9" fontId="0" fillId="0" borderId="1" xfId="2" applyFont="1" applyBorder="1" applyAlignment="1">
      <alignment horizontal="center" vertical="center"/>
    </xf>
    <xf numFmtId="2" fontId="10" fillId="15" borderId="11" xfId="1" applyNumberFormat="1" applyFont="1" applyFill="1" applyBorder="1" applyAlignment="1">
      <alignment horizontal="center" vertical="center" wrapText="1"/>
    </xf>
    <xf numFmtId="2" fontId="10" fillId="13" borderId="1" xfId="1" applyNumberFormat="1" applyFont="1" applyFill="1" applyBorder="1" applyAlignment="1">
      <alignment horizontal="center" vertical="center" wrapText="1"/>
    </xf>
    <xf numFmtId="0" fontId="10" fillId="5" borderId="1" xfId="1" applyNumberFormat="1"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1" fontId="10" fillId="0" borderId="1" xfId="1" applyNumberFormat="1" applyFont="1" applyFill="1" applyBorder="1" applyAlignment="1">
      <alignment horizontal="center" vertical="center" wrapText="1"/>
    </xf>
    <xf numFmtId="2" fontId="10" fillId="0" borderId="1" xfId="1" applyNumberFormat="1" applyFont="1" applyFill="1" applyBorder="1" applyAlignment="1">
      <alignment horizontal="center" vertical="center" wrapText="1"/>
    </xf>
    <xf numFmtId="2" fontId="10" fillId="0" borderId="1" xfId="0" applyNumberFormat="1" applyFont="1" applyBorder="1" applyAlignment="1">
      <alignment horizontal="center" vertical="center" wrapText="1"/>
    </xf>
    <xf numFmtId="0" fontId="12" fillId="35" borderId="17" xfId="0" applyFont="1" applyFill="1" applyBorder="1" applyAlignment="1">
      <alignment horizontal="center" vertical="center" wrapText="1"/>
    </xf>
    <xf numFmtId="10" fontId="0" fillId="0" borderId="1" xfId="0" applyNumberFormat="1" applyBorder="1" applyAlignment="1">
      <alignment horizontal="center"/>
    </xf>
    <xf numFmtId="9" fontId="0" fillId="0" borderId="1" xfId="0" applyNumberFormat="1" applyBorder="1"/>
    <xf numFmtId="0" fontId="2" fillId="0" borderId="1" xfId="0" applyFont="1" applyBorder="1" applyAlignment="1">
      <alignment wrapText="1"/>
    </xf>
    <xf numFmtId="6" fontId="0" fillId="3" borderId="1" xfId="0" applyNumberFormat="1" applyFill="1" applyBorder="1"/>
    <xf numFmtId="9" fontId="0" fillId="3" borderId="1" xfId="2" applyFont="1" applyFill="1" applyBorder="1" applyAlignment="1">
      <alignment vertical="center"/>
    </xf>
    <xf numFmtId="0" fontId="14" fillId="22" borderId="0" xfId="0" applyFont="1" applyFill="1" applyAlignment="1">
      <alignment horizontal="center" vertical="center" wrapText="1"/>
    </xf>
    <xf numFmtId="9" fontId="0" fillId="0" borderId="0" xfId="2" applyFont="1" applyBorder="1" applyAlignment="1">
      <alignment horizontal="center" vertical="center"/>
    </xf>
    <xf numFmtId="9" fontId="0" fillId="0" borderId="1" xfId="0" applyNumberFormat="1" applyBorder="1" applyAlignment="1">
      <alignment horizontal="center" vertical="center"/>
    </xf>
    <xf numFmtId="0" fontId="10" fillId="16" borderId="1" xfId="0" applyFont="1" applyFill="1" applyBorder="1" applyAlignment="1">
      <alignment horizontal="center" vertical="center" wrapText="1"/>
    </xf>
    <xf numFmtId="0" fontId="33" fillId="3" borderId="1" xfId="0" applyFont="1" applyFill="1" applyBorder="1" applyAlignment="1">
      <alignment horizontal="center" vertical="center"/>
    </xf>
    <xf numFmtId="3" fontId="10" fillId="0" borderId="1" xfId="0" applyNumberFormat="1" applyFont="1" applyBorder="1"/>
    <xf numFmtId="1" fontId="10" fillId="0" borderId="1" xfId="0" applyNumberFormat="1" applyFont="1" applyBorder="1" applyAlignment="1">
      <alignment horizontal="center" vertical="center"/>
    </xf>
    <xf numFmtId="0" fontId="14" fillId="26" borderId="1" xfId="0" applyFont="1" applyFill="1" applyBorder="1"/>
    <xf numFmtId="3" fontId="0" fillId="26" borderId="1" xfId="0" applyNumberFormat="1" applyFill="1" applyBorder="1" applyAlignment="1">
      <alignment horizontal="center"/>
    </xf>
    <xf numFmtId="9" fontId="0" fillId="26" borderId="1" xfId="0" applyNumberFormat="1" applyFill="1" applyBorder="1" applyAlignment="1">
      <alignment horizontal="center"/>
    </xf>
    <xf numFmtId="1" fontId="0" fillId="26" borderId="1" xfId="0" applyNumberFormat="1" applyFill="1" applyBorder="1" applyAlignment="1">
      <alignment horizontal="center"/>
    </xf>
    <xf numFmtId="1" fontId="0" fillId="26" borderId="44" xfId="0" applyNumberFormat="1" applyFill="1" applyBorder="1" applyAlignment="1">
      <alignment horizontal="center"/>
    </xf>
    <xf numFmtId="3" fontId="0" fillId="5" borderId="1" xfId="0" applyNumberFormat="1" applyFill="1" applyBorder="1" applyAlignment="1">
      <alignment horizontal="center"/>
    </xf>
    <xf numFmtId="1" fontId="0" fillId="0" borderId="1" xfId="0" applyNumberFormat="1" applyBorder="1"/>
    <xf numFmtId="0" fontId="0" fillId="0" borderId="7" xfId="0" applyBorder="1"/>
    <xf numFmtId="3" fontId="0" fillId="6" borderId="1" xfId="4" applyNumberFormat="1" applyFont="1" applyFill="1" applyBorder="1" applyAlignment="1">
      <alignment horizontal="center" vertical="center"/>
    </xf>
    <xf numFmtId="0" fontId="0" fillId="5" borderId="1" xfId="0" applyFill="1" applyBorder="1" applyAlignment="1">
      <alignment horizontal="center"/>
    </xf>
    <xf numFmtId="1" fontId="0" fillId="0" borderId="7" xfId="0" applyNumberFormat="1" applyBorder="1" applyAlignment="1">
      <alignment horizontal="center"/>
    </xf>
    <xf numFmtId="1" fontId="0" fillId="0" borderId="7" xfId="0" applyNumberFormat="1" applyBorder="1" applyAlignment="1">
      <alignment horizontal="left" indent="1"/>
    </xf>
    <xf numFmtId="168" fontId="0" fillId="0" borderId="7" xfId="0" applyNumberFormat="1" applyBorder="1" applyAlignment="1">
      <alignment horizontal="center"/>
    </xf>
    <xf numFmtId="1" fontId="0" fillId="5" borderId="1" xfId="2" applyNumberFormat="1" applyFont="1" applyFill="1" applyBorder="1" applyAlignment="1">
      <alignment horizontal="center"/>
    </xf>
    <xf numFmtId="1" fontId="0" fillId="25" borderId="1" xfId="0" applyNumberFormat="1" applyFill="1" applyBorder="1"/>
    <xf numFmtId="0" fontId="33" fillId="26" borderId="1" xfId="0" applyFont="1" applyFill="1" applyBorder="1" applyAlignment="1">
      <alignment wrapText="1"/>
    </xf>
    <xf numFmtId="3" fontId="33" fillId="26" borderId="1" xfId="0" applyNumberFormat="1" applyFont="1" applyFill="1" applyBorder="1" applyAlignment="1">
      <alignment horizontal="center"/>
    </xf>
    <xf numFmtId="9" fontId="33" fillId="26" borderId="1" xfId="0" applyNumberFormat="1" applyFont="1" applyFill="1" applyBorder="1" applyAlignment="1">
      <alignment horizontal="center"/>
    </xf>
    <xf numFmtId="169" fontId="33" fillId="26" borderId="1" xfId="0" applyNumberFormat="1" applyFont="1" applyFill="1" applyBorder="1" applyAlignment="1">
      <alignment horizontal="center" vertical="center"/>
    </xf>
    <xf numFmtId="9" fontId="33" fillId="26" borderId="1" xfId="0" applyNumberFormat="1" applyFont="1" applyFill="1" applyBorder="1" applyAlignment="1">
      <alignment horizontal="center" vertical="center"/>
    </xf>
    <xf numFmtId="0" fontId="33" fillId="26" borderId="1" xfId="0" applyFont="1" applyFill="1" applyBorder="1" applyAlignment="1">
      <alignment horizontal="center"/>
    </xf>
    <xf numFmtId="0" fontId="33" fillId="26" borderId="1" xfId="0" applyFont="1" applyFill="1" applyBorder="1"/>
    <xf numFmtId="3" fontId="33" fillId="26" borderId="1" xfId="0" applyNumberFormat="1" applyFont="1" applyFill="1" applyBorder="1" applyAlignment="1">
      <alignment horizontal="center" vertical="center"/>
    </xf>
    <xf numFmtId="9" fontId="33" fillId="0" borderId="1" xfId="0" applyNumberFormat="1" applyFont="1" applyBorder="1" applyAlignment="1">
      <alignment horizontal="center" vertical="center"/>
    </xf>
    <xf numFmtId="3" fontId="1" fillId="5" borderId="1" xfId="0" applyNumberFormat="1" applyFont="1" applyFill="1" applyBorder="1" applyAlignment="1">
      <alignment horizontal="center"/>
    </xf>
    <xf numFmtId="1" fontId="1" fillId="3" borderId="1" xfId="0" applyNumberFormat="1" applyFont="1" applyFill="1" applyBorder="1" applyAlignment="1">
      <alignment horizontal="center"/>
    </xf>
    <xf numFmtId="0" fontId="1" fillId="3" borderId="1" xfId="0" applyFont="1" applyFill="1" applyBorder="1" applyAlignment="1">
      <alignment horizontal="center"/>
    </xf>
    <xf numFmtId="3" fontId="1" fillId="3" borderId="1" xfId="0" applyNumberFormat="1" applyFont="1" applyFill="1" applyBorder="1" applyAlignment="1">
      <alignment horizontal="center"/>
    </xf>
    <xf numFmtId="0" fontId="18" fillId="0" borderId="12"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8" xfId="0" applyFont="1" applyBorder="1" applyAlignment="1">
      <alignment horizontal="center" vertical="center" wrapText="1"/>
    </xf>
    <xf numFmtId="0" fontId="10" fillId="9" borderId="11" xfId="0" applyFont="1" applyFill="1" applyBorder="1" applyAlignment="1">
      <alignment horizontal="center" vertical="center"/>
    </xf>
    <xf numFmtId="0" fontId="10" fillId="9" borderId="17" xfId="0" applyFont="1" applyFill="1" applyBorder="1" applyAlignment="1">
      <alignment horizontal="center" vertical="center"/>
    </xf>
    <xf numFmtId="0" fontId="10" fillId="9" borderId="8" xfId="0" applyFont="1" applyFill="1" applyBorder="1" applyAlignment="1">
      <alignment horizontal="center" vertical="center"/>
    </xf>
    <xf numFmtId="0" fontId="10" fillId="9" borderId="12"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18" borderId="12" xfId="0" applyFont="1" applyFill="1" applyBorder="1" applyAlignment="1">
      <alignment horizontal="center" vertical="center" wrapText="1"/>
    </xf>
    <xf numFmtId="0" fontId="10" fillId="18" borderId="17" xfId="0" applyFont="1" applyFill="1" applyBorder="1" applyAlignment="1">
      <alignment horizontal="center" vertical="center" wrapText="1"/>
    </xf>
    <xf numFmtId="0" fontId="10" fillId="18" borderId="8"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8" xfId="0" applyFont="1" applyBorder="1" applyAlignment="1">
      <alignment horizontal="center" vertical="center" wrapText="1"/>
    </xf>
    <xf numFmtId="0" fontId="10" fillId="18" borderId="12" xfId="0" applyFont="1" applyFill="1" applyBorder="1" applyAlignment="1">
      <alignment horizontal="center" vertical="center"/>
    </xf>
    <xf numFmtId="0" fontId="10" fillId="18" borderId="17" xfId="0" applyFont="1" applyFill="1" applyBorder="1" applyAlignment="1">
      <alignment horizontal="center" vertical="center"/>
    </xf>
    <xf numFmtId="0" fontId="10" fillId="18" borderId="8" xfId="0" applyFont="1" applyFill="1" applyBorder="1" applyAlignment="1">
      <alignment horizontal="center" vertical="center"/>
    </xf>
    <xf numFmtId="0" fontId="10" fillId="9" borderId="9" xfId="0" applyFont="1" applyFill="1" applyBorder="1" applyAlignment="1">
      <alignment horizontal="center" vertical="center"/>
    </xf>
    <xf numFmtId="42" fontId="10" fillId="0" borderId="12" xfId="1" applyFont="1" applyFill="1" applyBorder="1" applyAlignment="1">
      <alignment horizontal="center" vertical="center" wrapText="1"/>
    </xf>
    <xf numFmtId="42" fontId="10" fillId="0" borderId="17" xfId="1" applyFont="1" applyFill="1" applyBorder="1" applyAlignment="1">
      <alignment horizontal="center" vertical="center" wrapText="1"/>
    </xf>
    <xf numFmtId="42" fontId="10" fillId="0" borderId="8" xfId="1"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8" fillId="0" borderId="9" xfId="0" applyFont="1" applyBorder="1" applyAlignment="1">
      <alignment horizontal="center" vertical="center" wrapText="1"/>
    </xf>
    <xf numFmtId="42" fontId="10" fillId="0" borderId="11" xfId="1" applyFont="1" applyFill="1" applyBorder="1" applyAlignment="1">
      <alignment horizontal="center" vertical="center" wrapText="1"/>
    </xf>
    <xf numFmtId="42" fontId="10" fillId="0" borderId="9" xfId="1" applyFont="1" applyFill="1" applyBorder="1" applyAlignment="1">
      <alignment horizontal="center" vertical="center" wrapText="1"/>
    </xf>
    <xf numFmtId="0" fontId="10" fillId="15" borderId="11" xfId="0" applyFont="1" applyFill="1" applyBorder="1" applyAlignment="1">
      <alignment horizontal="center" vertical="center"/>
    </xf>
    <xf numFmtId="0" fontId="10" fillId="15" borderId="17" xfId="0" applyFont="1" applyFill="1" applyBorder="1" applyAlignment="1">
      <alignment horizontal="center" vertical="center"/>
    </xf>
    <xf numFmtId="9" fontId="17" fillId="15" borderId="1" xfId="0" applyNumberFormat="1" applyFont="1" applyFill="1" applyBorder="1" applyAlignment="1">
      <alignment horizontal="center" vertical="center"/>
    </xf>
    <xf numFmtId="0" fontId="10" fillId="9" borderId="12" xfId="0" applyFont="1" applyFill="1" applyBorder="1" applyAlignment="1">
      <alignment horizontal="center" vertical="center"/>
    </xf>
    <xf numFmtId="0" fontId="10" fillId="15" borderId="12" xfId="0" applyFont="1" applyFill="1" applyBorder="1" applyAlignment="1">
      <alignment horizontal="center" vertical="center"/>
    </xf>
    <xf numFmtId="0" fontId="10" fillId="15" borderId="9" xfId="0" applyFont="1" applyFill="1" applyBorder="1" applyAlignment="1">
      <alignment horizontal="center" vertical="center"/>
    </xf>
    <xf numFmtId="0" fontId="0" fillId="0" borderId="11" xfId="0" applyBorder="1" applyAlignment="1">
      <alignment horizontal="center" vertical="center" wrapText="1"/>
    </xf>
    <xf numFmtId="0" fontId="0" fillId="0" borderId="17" xfId="0" applyBorder="1" applyAlignment="1">
      <alignment horizontal="center" vertical="center" wrapText="1"/>
    </xf>
    <xf numFmtId="0" fontId="10" fillId="7" borderId="11"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9" borderId="9" xfId="0" applyFont="1" applyFill="1" applyBorder="1" applyAlignment="1">
      <alignment horizontal="center" vertical="center" wrapText="1"/>
    </xf>
    <xf numFmtId="42" fontId="10" fillId="15" borderId="11" xfId="1" applyFont="1" applyFill="1" applyBorder="1" applyAlignment="1">
      <alignment horizontal="center" vertical="center" wrapText="1"/>
    </xf>
    <xf numFmtId="42" fontId="10" fillId="15" borderId="17" xfId="1" applyFont="1" applyFill="1" applyBorder="1" applyAlignment="1">
      <alignment horizontal="center" vertical="center" wrapText="1"/>
    </xf>
    <xf numFmtId="42" fontId="10" fillId="15" borderId="8" xfId="1" applyFont="1" applyFill="1" applyBorder="1" applyAlignment="1">
      <alignment horizontal="center" vertical="center" wrapText="1"/>
    </xf>
    <xf numFmtId="9" fontId="15" fillId="15" borderId="11" xfId="0" applyNumberFormat="1" applyFont="1" applyFill="1" applyBorder="1" applyAlignment="1">
      <alignment horizontal="center" vertical="center"/>
    </xf>
    <xf numFmtId="9" fontId="15" fillId="15" borderId="8" xfId="0" applyNumberFormat="1" applyFont="1" applyFill="1" applyBorder="1" applyAlignment="1">
      <alignment horizontal="center" vertical="center"/>
    </xf>
    <xf numFmtId="0" fontId="10" fillId="15" borderId="17" xfId="0" applyFont="1" applyFill="1" applyBorder="1" applyAlignment="1">
      <alignment horizontal="center" vertical="center" wrapText="1"/>
    </xf>
    <xf numFmtId="0" fontId="10" fillId="15" borderId="8"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8" xfId="0" applyFont="1" applyFill="1" applyBorder="1" applyAlignment="1">
      <alignment horizontal="center" vertical="center"/>
    </xf>
    <xf numFmtId="9" fontId="17" fillId="15" borderId="11" xfId="0" applyNumberFormat="1" applyFont="1" applyFill="1" applyBorder="1" applyAlignment="1">
      <alignment horizontal="center" vertical="center"/>
    </xf>
    <xf numFmtId="9" fontId="17" fillId="15" borderId="17" xfId="0" applyNumberFormat="1" applyFont="1" applyFill="1" applyBorder="1" applyAlignment="1">
      <alignment horizontal="center" vertical="center"/>
    </xf>
    <xf numFmtId="0" fontId="10" fillId="18" borderId="11" xfId="0" applyFont="1" applyFill="1" applyBorder="1" applyAlignment="1">
      <alignment horizontal="center" vertical="center" wrapText="1"/>
    </xf>
    <xf numFmtId="0" fontId="10" fillId="18" borderId="9" xfId="0" applyFont="1" applyFill="1" applyBorder="1" applyAlignment="1">
      <alignment horizontal="center" vertical="center" wrapText="1"/>
    </xf>
    <xf numFmtId="42" fontId="10" fillId="0" borderId="1" xfId="1" applyFont="1" applyBorder="1" applyAlignment="1">
      <alignment horizontal="center" vertical="center" wrapText="1"/>
    </xf>
    <xf numFmtId="0" fontId="13" fillId="15" borderId="17" xfId="0" applyFont="1" applyFill="1" applyBorder="1" applyAlignment="1">
      <alignment horizontal="center" vertical="center" wrapText="1"/>
    </xf>
    <xf numFmtId="0" fontId="13" fillId="19" borderId="12" xfId="0" applyFont="1" applyFill="1" applyBorder="1" applyAlignment="1">
      <alignment horizontal="center" vertical="center" wrapText="1"/>
    </xf>
    <xf numFmtId="0" fontId="13" fillId="19" borderId="17" xfId="0" applyFont="1" applyFill="1" applyBorder="1" applyAlignment="1">
      <alignment horizontal="center" vertical="center" wrapText="1"/>
    </xf>
    <xf numFmtId="0" fontId="13" fillId="19" borderId="9"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10" fillId="15" borderId="9" xfId="0" applyFont="1" applyFill="1" applyBorder="1" applyAlignment="1">
      <alignment horizontal="center" vertical="center" wrapText="1"/>
    </xf>
    <xf numFmtId="0" fontId="10" fillId="19" borderId="12" xfId="0" applyFont="1" applyFill="1" applyBorder="1" applyAlignment="1">
      <alignment horizontal="center" vertical="center" wrapText="1"/>
    </xf>
    <xf numFmtId="0" fontId="10" fillId="19" borderId="17"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3" fillId="19" borderId="8" xfId="0" applyFont="1" applyFill="1" applyBorder="1" applyAlignment="1">
      <alignment horizontal="center" vertical="center" wrapText="1"/>
    </xf>
    <xf numFmtId="0" fontId="10" fillId="19" borderId="11" xfId="0" applyFont="1" applyFill="1" applyBorder="1" applyAlignment="1">
      <alignment horizontal="center" vertical="center" wrapText="1"/>
    </xf>
    <xf numFmtId="0" fontId="10" fillId="19" borderId="8" xfId="0" applyFont="1" applyFill="1" applyBorder="1" applyAlignment="1">
      <alignment horizontal="center" vertical="center" wrapText="1"/>
    </xf>
    <xf numFmtId="0" fontId="13" fillId="19" borderId="11" xfId="0" applyFont="1" applyFill="1" applyBorder="1" applyAlignment="1">
      <alignment horizontal="center" vertical="center" wrapText="1"/>
    </xf>
    <xf numFmtId="0" fontId="13" fillId="18" borderId="12" xfId="0" applyFont="1" applyFill="1" applyBorder="1" applyAlignment="1">
      <alignment horizontal="center" vertical="center" wrapText="1"/>
    </xf>
    <xf numFmtId="0" fontId="13" fillId="18" borderId="17" xfId="0" applyFont="1" applyFill="1" applyBorder="1" applyAlignment="1">
      <alignment horizontal="center" vertical="center" wrapText="1"/>
    </xf>
    <xf numFmtId="0" fontId="13" fillId="18" borderId="9"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9" borderId="17"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15" borderId="12" xfId="0" applyFont="1" applyFill="1" applyBorder="1" applyAlignment="1">
      <alignment horizontal="center" vertical="center" wrapText="1"/>
    </xf>
    <xf numFmtId="0" fontId="13" fillId="15" borderId="9"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0" fillId="13" borderId="11" xfId="0" applyFont="1" applyFill="1" applyBorder="1" applyAlignment="1">
      <alignment horizontal="center" vertical="center"/>
    </xf>
    <xf numFmtId="0" fontId="10" fillId="13" borderId="17" xfId="0" applyFont="1" applyFill="1" applyBorder="1" applyAlignment="1">
      <alignment horizontal="center" vertical="center"/>
    </xf>
    <xf numFmtId="0" fontId="10" fillId="13" borderId="8" xfId="0" applyFont="1" applyFill="1" applyBorder="1" applyAlignment="1">
      <alignment horizontal="center" vertical="center"/>
    </xf>
    <xf numFmtId="0" fontId="10" fillId="11" borderId="12"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10" fillId="11" borderId="12" xfId="0" applyFont="1" applyFill="1" applyBorder="1" applyAlignment="1">
      <alignment horizontal="center" vertical="center"/>
    </xf>
    <xf numFmtId="0" fontId="10" fillId="11" borderId="8" xfId="0" applyFont="1" applyFill="1" applyBorder="1" applyAlignment="1">
      <alignment horizontal="center" vertical="center"/>
    </xf>
    <xf numFmtId="0" fontId="10" fillId="13" borderId="62" xfId="0" applyFont="1" applyFill="1" applyBorder="1" applyAlignment="1">
      <alignment horizontal="center" vertical="center" wrapText="1"/>
    </xf>
    <xf numFmtId="0" fontId="10" fillId="13" borderId="43" xfId="0" applyFont="1" applyFill="1" applyBorder="1" applyAlignment="1">
      <alignment horizontal="center" vertical="center" wrapText="1"/>
    </xf>
    <xf numFmtId="0" fontId="10" fillId="13" borderId="63" xfId="0" applyFont="1" applyFill="1" applyBorder="1" applyAlignment="1">
      <alignment horizontal="center" vertical="center" wrapText="1"/>
    </xf>
    <xf numFmtId="0" fontId="15" fillId="13" borderId="11"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10" fillId="13" borderId="9" xfId="0" applyFont="1" applyFill="1" applyBorder="1" applyAlignment="1">
      <alignment horizontal="center" vertical="center"/>
    </xf>
    <xf numFmtId="0" fontId="10" fillId="13" borderId="8"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17"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10" fillId="7" borderId="11" xfId="0" applyFont="1" applyFill="1" applyBorder="1" applyAlignment="1">
      <alignment horizontal="left" vertical="center" wrapText="1"/>
    </xf>
    <xf numFmtId="0" fontId="10" fillId="7" borderId="17" xfId="0" applyFont="1" applyFill="1" applyBorder="1" applyAlignment="1">
      <alignment horizontal="left" vertical="center" wrapText="1"/>
    </xf>
    <xf numFmtId="0" fontId="10" fillId="7" borderId="8" xfId="0" applyFont="1" applyFill="1" applyBorder="1" applyAlignment="1">
      <alignment horizontal="left" vertical="center" wrapText="1"/>
    </xf>
    <xf numFmtId="0" fontId="10" fillId="3" borderId="19"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42" xfId="0" applyFont="1" applyFill="1" applyBorder="1" applyAlignment="1">
      <alignment horizontal="center" vertical="center" wrapText="1"/>
    </xf>
    <xf numFmtId="164" fontId="18" fillId="11" borderId="12" xfId="0" applyNumberFormat="1" applyFont="1" applyFill="1" applyBorder="1" applyAlignment="1">
      <alignment horizontal="center" vertical="center" wrapText="1"/>
    </xf>
    <xf numFmtId="164" fontId="18" fillId="11" borderId="17" xfId="0" applyNumberFormat="1" applyFont="1" applyFill="1" applyBorder="1" applyAlignment="1">
      <alignment horizontal="center" vertical="center" wrapText="1"/>
    </xf>
    <xf numFmtId="164" fontId="18" fillId="11" borderId="9" xfId="0" applyNumberFormat="1"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42" fontId="10" fillId="0" borderId="12" xfId="0" applyNumberFormat="1" applyFont="1" applyBorder="1" applyAlignment="1">
      <alignment horizontal="center" vertical="center" wrapText="1"/>
    </xf>
    <xf numFmtId="0" fontId="10" fillId="7" borderId="11"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8" xfId="0" applyFont="1" applyFill="1" applyBorder="1" applyAlignment="1">
      <alignment horizontal="center" vertical="center"/>
    </xf>
    <xf numFmtId="0" fontId="10" fillId="13" borderId="12" xfId="0" applyFont="1" applyFill="1" applyBorder="1" applyAlignment="1">
      <alignment horizontal="center" vertical="center"/>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13" fillId="4" borderId="45" xfId="0" applyFont="1" applyFill="1" applyBorder="1" applyAlignment="1">
      <alignment horizontal="center" vertical="center" wrapText="1"/>
    </xf>
    <xf numFmtId="0" fontId="10" fillId="11" borderId="17" xfId="0" applyFont="1" applyFill="1" applyBorder="1" applyAlignment="1">
      <alignment horizontal="center" vertical="center" wrapText="1"/>
    </xf>
    <xf numFmtId="0" fontId="10" fillId="11" borderId="17" xfId="0" applyFont="1" applyFill="1" applyBorder="1" applyAlignment="1">
      <alignment horizontal="center" vertical="center"/>
    </xf>
    <xf numFmtId="0" fontId="10" fillId="11" borderId="9"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28"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0" fillId="11" borderId="12" xfId="0" applyFont="1" applyFill="1" applyBorder="1" applyAlignment="1">
      <alignment horizontal="left" vertical="center" wrapText="1"/>
    </xf>
    <xf numFmtId="0" fontId="10" fillId="11" borderId="17" xfId="0" applyFont="1" applyFill="1" applyBorder="1" applyAlignment="1">
      <alignment horizontal="left" vertical="center" wrapText="1"/>
    </xf>
    <xf numFmtId="0" fontId="10" fillId="11" borderId="9" xfId="0" applyFont="1" applyFill="1" applyBorder="1" applyAlignment="1">
      <alignment horizontal="left" vertical="center" wrapText="1"/>
    </xf>
    <xf numFmtId="0" fontId="10" fillId="11" borderId="22"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0" fillId="11" borderId="24" xfId="0" applyFont="1" applyFill="1" applyBorder="1" applyAlignment="1">
      <alignment horizontal="center" vertical="center" wrapText="1"/>
    </xf>
    <xf numFmtId="0" fontId="10" fillId="11" borderId="11" xfId="0" applyFont="1" applyFill="1" applyBorder="1" applyAlignment="1">
      <alignment horizontal="center" vertical="center" wrapText="1"/>
    </xf>
    <xf numFmtId="0" fontId="18" fillId="11" borderId="11" xfId="0" applyFont="1" applyFill="1" applyBorder="1" applyAlignment="1">
      <alignment horizontal="center" vertical="center"/>
    </xf>
    <xf numFmtId="0" fontId="18" fillId="11" borderId="8" xfId="0" applyFont="1" applyFill="1" applyBorder="1" applyAlignment="1">
      <alignment horizontal="center" vertical="center"/>
    </xf>
    <xf numFmtId="0" fontId="10" fillId="11" borderId="11" xfId="0" applyFont="1" applyFill="1" applyBorder="1" applyAlignment="1">
      <alignment horizontal="center" vertical="center"/>
    </xf>
    <xf numFmtId="0" fontId="12" fillId="4" borderId="6"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3" borderId="1" xfId="0" applyFont="1" applyFill="1" applyBorder="1" applyAlignment="1">
      <alignment horizontal="center" wrapText="1"/>
    </xf>
    <xf numFmtId="0" fontId="10" fillId="11" borderId="38" xfId="0" applyFont="1" applyFill="1" applyBorder="1" applyAlignment="1">
      <alignment horizontal="center" vertical="center" wrapText="1"/>
    </xf>
    <xf numFmtId="0" fontId="10" fillId="11" borderId="39" xfId="0" applyFont="1" applyFill="1" applyBorder="1" applyAlignment="1">
      <alignment horizontal="center" vertical="center" wrapText="1"/>
    </xf>
    <xf numFmtId="0" fontId="10" fillId="11" borderId="16" xfId="0" applyFont="1" applyFill="1" applyBorder="1" applyAlignment="1">
      <alignment horizontal="center" vertical="center" wrapText="1"/>
    </xf>
    <xf numFmtId="0" fontId="13" fillId="11" borderId="12" xfId="0" applyFont="1" applyFill="1" applyBorder="1" applyAlignment="1">
      <alignment horizontal="center" vertical="center" wrapText="1"/>
    </xf>
    <xf numFmtId="0" fontId="13" fillId="11" borderId="17" xfId="0" applyFont="1" applyFill="1" applyBorder="1" applyAlignment="1">
      <alignment horizontal="center" vertical="center" wrapText="1"/>
    </xf>
    <xf numFmtId="0" fontId="13" fillId="11"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11" borderId="35" xfId="0" applyFont="1" applyFill="1" applyBorder="1" applyAlignment="1">
      <alignment horizontal="center" vertical="center" wrapText="1"/>
    </xf>
    <xf numFmtId="0" fontId="13" fillId="13" borderId="12" xfId="0" applyFont="1" applyFill="1" applyBorder="1" applyAlignment="1">
      <alignment horizontal="center" vertical="center" wrapText="1"/>
    </xf>
    <xf numFmtId="0" fontId="13" fillId="13" borderId="17" xfId="0" applyFont="1" applyFill="1" applyBorder="1" applyAlignment="1">
      <alignment horizontal="center" vertical="center" wrapText="1"/>
    </xf>
    <xf numFmtId="0" fontId="13" fillId="13" borderId="9" xfId="0" applyFont="1" applyFill="1" applyBorder="1" applyAlignment="1">
      <alignment horizontal="center" vertical="center" wrapText="1"/>
    </xf>
    <xf numFmtId="0" fontId="10" fillId="13" borderId="22" xfId="0" applyFont="1" applyFill="1" applyBorder="1" applyAlignment="1">
      <alignment horizontal="center" vertical="center" wrapText="1"/>
    </xf>
    <xf numFmtId="0" fontId="10" fillId="13" borderId="23" xfId="0" applyFont="1" applyFill="1" applyBorder="1" applyAlignment="1">
      <alignment horizontal="center" vertical="center" wrapText="1"/>
    </xf>
    <xf numFmtId="0" fontId="10" fillId="13" borderId="24" xfId="0" applyFont="1" applyFill="1" applyBorder="1" applyAlignment="1">
      <alignment horizontal="center" vertical="center" wrapText="1"/>
    </xf>
    <xf numFmtId="0" fontId="10" fillId="13" borderId="40" xfId="0" applyFont="1" applyFill="1" applyBorder="1" applyAlignment="1">
      <alignment horizontal="center" vertical="center" wrapText="1"/>
    </xf>
    <xf numFmtId="0" fontId="10" fillId="13" borderId="36" xfId="0" applyFont="1" applyFill="1" applyBorder="1" applyAlignment="1">
      <alignment horizontal="center" vertical="center" wrapText="1"/>
    </xf>
    <xf numFmtId="0" fontId="10" fillId="13" borderId="41"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3" fillId="10" borderId="26" xfId="0" applyFont="1" applyFill="1" applyBorder="1" applyAlignment="1">
      <alignment horizontal="center" vertical="center" wrapText="1"/>
    </xf>
    <xf numFmtId="0" fontId="13" fillId="10" borderId="25"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4" fillId="10" borderId="8" xfId="0" applyFont="1" applyFill="1" applyBorder="1" applyAlignment="1">
      <alignment horizontal="justify" vertical="center" wrapText="1"/>
    </xf>
    <xf numFmtId="0" fontId="14" fillId="10" borderId="11" xfId="0" applyFont="1" applyFill="1" applyBorder="1" applyAlignment="1">
      <alignment horizontal="justify" vertical="center" wrapText="1"/>
    </xf>
    <xf numFmtId="0" fontId="12" fillId="4" borderId="8"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0" fillId="19" borderId="11" xfId="0" applyFont="1" applyFill="1" applyBorder="1" applyAlignment="1">
      <alignment horizontal="center" vertical="center"/>
    </xf>
    <xf numFmtId="0" fontId="10" fillId="19" borderId="17" xfId="0" applyFont="1" applyFill="1" applyBorder="1" applyAlignment="1">
      <alignment horizontal="center" vertical="center"/>
    </xf>
    <xf numFmtId="0" fontId="10" fillId="19" borderId="9" xfId="0" applyFont="1" applyFill="1" applyBorder="1" applyAlignment="1">
      <alignment horizontal="center" vertical="center"/>
    </xf>
    <xf numFmtId="0" fontId="10" fillId="19" borderId="8" xfId="0" applyFont="1" applyFill="1" applyBorder="1" applyAlignment="1">
      <alignment horizontal="center" vertical="center"/>
    </xf>
    <xf numFmtId="0" fontId="18" fillId="13" borderId="12" xfId="0" applyFont="1" applyFill="1" applyBorder="1" applyAlignment="1">
      <alignment horizontal="center" vertical="center"/>
    </xf>
    <xf numFmtId="0" fontId="18" fillId="13" borderId="17" xfId="0" applyFont="1" applyFill="1" applyBorder="1" applyAlignment="1">
      <alignment horizontal="center" vertical="center"/>
    </xf>
    <xf numFmtId="0" fontId="5" fillId="0" borderId="11" xfId="0" applyFont="1" applyBorder="1" applyAlignment="1">
      <alignment horizontal="center" vertical="center" wrapText="1"/>
    </xf>
    <xf numFmtId="0" fontId="0" fillId="0" borderId="9" xfId="0" applyBorder="1" applyAlignment="1">
      <alignment horizontal="center" vertical="center" wrapText="1"/>
    </xf>
    <xf numFmtId="0" fontId="18" fillId="0" borderId="11" xfId="0" applyFont="1" applyBorder="1" applyAlignment="1">
      <alignment horizontal="center" vertical="center" wrapText="1"/>
    </xf>
    <xf numFmtId="0" fontId="0" fillId="0" borderId="8" xfId="0" applyBorder="1" applyAlignment="1">
      <alignment horizontal="center" vertical="center" wrapText="1"/>
    </xf>
    <xf numFmtId="0" fontId="5" fillId="0" borderId="12" xfId="0" applyFont="1" applyBorder="1" applyAlignment="1">
      <alignment horizontal="center" vertical="center" wrapText="1"/>
    </xf>
    <xf numFmtId="9" fontId="15" fillId="15" borderId="17" xfId="0" applyNumberFormat="1" applyFont="1" applyFill="1" applyBorder="1" applyAlignment="1">
      <alignment horizontal="center" vertical="center"/>
    </xf>
    <xf numFmtId="0" fontId="5" fillId="0" borderId="17" xfId="0" applyFont="1" applyBorder="1" applyAlignment="1">
      <alignment horizontal="center" vertical="center" wrapText="1"/>
    </xf>
    <xf numFmtId="0" fontId="10" fillId="3" borderId="23" xfId="0" applyFont="1" applyFill="1" applyBorder="1" applyAlignment="1">
      <alignment horizontal="center" vertical="center"/>
    </xf>
    <xf numFmtId="0" fontId="10" fillId="3" borderId="42" xfId="0" applyFont="1" applyFill="1" applyBorder="1" applyAlignment="1">
      <alignment horizontal="center" vertical="center"/>
    </xf>
    <xf numFmtId="0" fontId="10" fillId="13" borderId="18" xfId="0" applyFont="1" applyFill="1" applyBorder="1" applyAlignment="1">
      <alignment horizontal="center" vertical="center" wrapText="1"/>
    </xf>
    <xf numFmtId="0" fontId="10" fillId="13" borderId="14" xfId="0" applyFont="1" applyFill="1" applyBorder="1" applyAlignment="1">
      <alignment horizontal="center" vertical="center" wrapText="1"/>
    </xf>
    <xf numFmtId="0" fontId="18" fillId="11" borderId="12"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18" fillId="11" borderId="9" xfId="0" applyFont="1" applyFill="1" applyBorder="1" applyAlignment="1">
      <alignment horizontal="center" vertical="center" wrapText="1"/>
    </xf>
    <xf numFmtId="0" fontId="10" fillId="10" borderId="11"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4" fillId="29" borderId="1" xfId="0" applyFont="1" applyFill="1" applyBorder="1" applyAlignment="1">
      <alignment horizontal="center"/>
    </xf>
    <xf numFmtId="0" fontId="10" fillId="9" borderId="1" xfId="0" applyFont="1" applyFill="1" applyBorder="1" applyAlignment="1">
      <alignment horizontal="center" vertical="center" wrapText="1"/>
    </xf>
    <xf numFmtId="0" fontId="14" fillId="22" borderId="1" xfId="0" applyFont="1" applyFill="1" applyBorder="1" applyAlignment="1">
      <alignment horizontal="center" vertical="center"/>
    </xf>
    <xf numFmtId="0" fontId="14" fillId="22" borderId="1" xfId="0" applyFont="1" applyFill="1" applyBorder="1" applyAlignment="1">
      <alignment horizontal="center" vertical="center" wrapText="1"/>
    </xf>
    <xf numFmtId="6" fontId="0" fillId="3" borderId="11" xfId="0" applyNumberFormat="1" applyFill="1" applyBorder="1" applyAlignment="1">
      <alignment horizontal="center" vertical="center"/>
    </xf>
    <xf numFmtId="6" fontId="0" fillId="3" borderId="17" xfId="0" applyNumberFormat="1" applyFill="1" applyBorder="1" applyAlignment="1">
      <alignment horizontal="center" vertical="center"/>
    </xf>
    <xf numFmtId="6" fontId="0" fillId="3" borderId="8" xfId="0" applyNumberFormat="1" applyFill="1" applyBorder="1" applyAlignment="1">
      <alignment horizontal="center" vertical="center"/>
    </xf>
    <xf numFmtId="0" fontId="14" fillId="22" borderId="1" xfId="0" applyFont="1" applyFill="1" applyBorder="1" applyAlignment="1">
      <alignment horizontal="center"/>
    </xf>
    <xf numFmtId="0" fontId="14" fillId="23" borderId="1" xfId="0" applyFont="1" applyFill="1" applyBorder="1" applyAlignment="1">
      <alignment horizontal="center"/>
    </xf>
    <xf numFmtId="0" fontId="10" fillId="9" borderId="1" xfId="0" applyFont="1" applyFill="1" applyBorder="1" applyAlignment="1">
      <alignment horizontal="center" wrapText="1"/>
    </xf>
    <xf numFmtId="0" fontId="14" fillId="7" borderId="1" xfId="0" applyFont="1" applyFill="1" applyBorder="1" applyAlignment="1">
      <alignment horizontal="center" vertical="center" wrapText="1"/>
    </xf>
    <xf numFmtId="0" fontId="14" fillId="23" borderId="1" xfId="0" applyFont="1" applyFill="1" applyBorder="1" applyAlignment="1">
      <alignment horizontal="center" vertical="center" wrapText="1"/>
    </xf>
    <xf numFmtId="0" fontId="14" fillId="7" borderId="1" xfId="0" applyFont="1" applyFill="1" applyBorder="1" applyAlignment="1">
      <alignment horizontal="center"/>
    </xf>
    <xf numFmtId="0" fontId="33" fillId="0" borderId="1" xfId="0" applyFont="1" applyBorder="1" applyAlignment="1">
      <alignment horizontal="center"/>
    </xf>
    <xf numFmtId="42" fontId="10" fillId="5" borderId="10" xfId="1" applyFont="1" applyFill="1" applyBorder="1" applyAlignment="1">
      <alignment horizontal="center" vertical="center" wrapText="1"/>
    </xf>
    <xf numFmtId="42" fontId="10" fillId="5" borderId="29" xfId="1" applyFont="1" applyFill="1" applyBorder="1" applyAlignment="1">
      <alignment horizontal="center" vertical="center" wrapText="1"/>
    </xf>
    <xf numFmtId="42" fontId="10" fillId="5" borderId="7" xfId="1" applyFont="1" applyFill="1" applyBorder="1" applyAlignment="1">
      <alignment horizontal="center" vertical="center" wrapText="1"/>
    </xf>
    <xf numFmtId="0" fontId="0" fillId="0" borderId="10" xfId="0" applyBorder="1" applyAlignment="1">
      <alignment horizontal="center"/>
    </xf>
    <xf numFmtId="0" fontId="0" fillId="0" borderId="7" xfId="0" applyBorder="1" applyAlignment="1">
      <alignment horizontal="center"/>
    </xf>
    <xf numFmtId="42" fontId="14" fillId="24" borderId="1" xfId="3" applyFont="1" applyFill="1" applyBorder="1" applyAlignment="1">
      <alignment horizontal="center" vertical="center" wrapText="1"/>
    </xf>
    <xf numFmtId="42" fontId="10" fillId="24" borderId="11" xfId="3" applyFont="1" applyFill="1" applyBorder="1" applyAlignment="1">
      <alignment horizontal="center" vertical="center" wrapText="1"/>
    </xf>
    <xf numFmtId="42" fontId="10" fillId="24" borderId="8" xfId="3" applyFont="1" applyFill="1" applyBorder="1" applyAlignment="1">
      <alignment horizontal="center" vertical="center" wrapText="1"/>
    </xf>
    <xf numFmtId="0" fontId="13" fillId="25" borderId="1" xfId="0" applyFont="1" applyFill="1" applyBorder="1" applyAlignment="1">
      <alignment horizontal="center" vertical="center" wrapText="1"/>
    </xf>
    <xf numFmtId="0" fontId="14" fillId="29" borderId="1" xfId="0" applyFont="1" applyFill="1" applyBorder="1" applyAlignment="1">
      <alignment horizontal="center" vertical="center" wrapText="1"/>
    </xf>
    <xf numFmtId="0" fontId="14" fillId="25" borderId="1" xfId="0" applyFont="1" applyFill="1" applyBorder="1" applyAlignment="1">
      <alignment horizontal="center" vertical="center" wrapText="1"/>
    </xf>
    <xf numFmtId="0" fontId="14" fillId="25" borderId="44" xfId="0" applyFont="1" applyFill="1" applyBorder="1" applyAlignment="1">
      <alignment horizontal="center" vertical="center" wrapText="1"/>
    </xf>
    <xf numFmtId="0" fontId="14" fillId="25" borderId="43" xfId="0" applyFont="1" applyFill="1" applyBorder="1" applyAlignment="1">
      <alignment horizontal="center" vertical="center" wrapText="1"/>
    </xf>
    <xf numFmtId="0" fontId="14" fillId="25" borderId="15" xfId="0" applyFont="1" applyFill="1" applyBorder="1" applyAlignment="1">
      <alignment horizontal="center" vertical="center" wrapText="1"/>
    </xf>
    <xf numFmtId="0" fontId="14" fillId="3" borderId="1" xfId="0" applyFont="1" applyFill="1" applyBorder="1" applyAlignment="1">
      <alignment horizontal="center"/>
    </xf>
    <xf numFmtId="0" fontId="33" fillId="3" borderId="1" xfId="0" applyFont="1" applyFill="1" applyBorder="1" applyAlignment="1">
      <alignment horizontal="center" vertical="center"/>
    </xf>
    <xf numFmtId="0" fontId="33" fillId="3" borderId="1" xfId="0" applyFont="1" applyFill="1" applyBorder="1" applyAlignment="1">
      <alignment horizontal="center" vertical="center" wrapText="1"/>
    </xf>
    <xf numFmtId="0" fontId="14" fillId="13" borderId="1" xfId="0" applyFont="1" applyFill="1" applyBorder="1" applyAlignment="1">
      <alignment horizontal="center"/>
    </xf>
    <xf numFmtId="0" fontId="14" fillId="0" borderId="11" xfId="0" applyFont="1" applyBorder="1" applyAlignment="1">
      <alignment horizontal="left" vertical="center" wrapText="1"/>
    </xf>
    <xf numFmtId="0" fontId="14" fillId="0" borderId="17" xfId="0" applyFont="1" applyBorder="1" applyAlignment="1">
      <alignment horizontal="left" vertical="center" wrapText="1"/>
    </xf>
    <xf numFmtId="0" fontId="14" fillId="0" borderId="8" xfId="0" applyFont="1" applyBorder="1" applyAlignment="1">
      <alignment horizontal="left" vertical="center" wrapText="1"/>
    </xf>
    <xf numFmtId="167" fontId="10" fillId="0" borderId="1" xfId="0" applyNumberFormat="1" applyFont="1" applyBorder="1" applyAlignment="1">
      <alignment horizontal="center" vertical="center"/>
    </xf>
    <xf numFmtId="2" fontId="10" fillId="0" borderId="11" xfId="0" applyNumberFormat="1" applyFont="1" applyBorder="1" applyAlignment="1">
      <alignment horizontal="center" vertical="center"/>
    </xf>
    <xf numFmtId="2" fontId="10" fillId="0" borderId="17" xfId="0" applyNumberFormat="1" applyFont="1" applyBorder="1" applyAlignment="1">
      <alignment horizontal="center" vertical="center"/>
    </xf>
    <xf numFmtId="2" fontId="10" fillId="0" borderId="8" xfId="0" applyNumberFormat="1" applyFont="1" applyBorder="1" applyAlignment="1">
      <alignment horizontal="center" vertical="center"/>
    </xf>
    <xf numFmtId="44" fontId="10" fillId="0" borderId="11" xfId="0" applyNumberFormat="1" applyFont="1" applyBorder="1" applyAlignment="1">
      <alignment horizontal="center" vertical="center"/>
    </xf>
    <xf numFmtId="0" fontId="10" fillId="0" borderId="8" xfId="0" applyFont="1" applyBorder="1" applyAlignment="1">
      <alignment horizontal="center" vertical="center"/>
    </xf>
    <xf numFmtId="168" fontId="10" fillId="0" borderId="11" xfId="0" applyNumberFormat="1" applyFont="1" applyBorder="1" applyAlignment="1">
      <alignment horizontal="center" vertical="center"/>
    </xf>
    <xf numFmtId="168" fontId="10" fillId="0" borderId="8" xfId="0" applyNumberFormat="1" applyFont="1" applyBorder="1" applyAlignment="1">
      <alignment horizontal="center" vertical="center"/>
    </xf>
    <xf numFmtId="0" fontId="14" fillId="0" borderId="11" xfId="0" applyFont="1" applyBorder="1" applyAlignment="1">
      <alignment horizontal="left" vertical="center"/>
    </xf>
    <xf numFmtId="0" fontId="14" fillId="0" borderId="17" xfId="0" applyFont="1" applyBorder="1" applyAlignment="1">
      <alignment horizontal="left" vertical="center"/>
    </xf>
    <xf numFmtId="0" fontId="14" fillId="0" borderId="8" xfId="0" applyFont="1" applyBorder="1" applyAlignment="1">
      <alignment horizontal="left" vertical="center"/>
    </xf>
    <xf numFmtId="0" fontId="10" fillId="0" borderId="17" xfId="0" applyFont="1" applyBorder="1" applyAlignment="1">
      <alignment horizontal="center" vertical="center"/>
    </xf>
    <xf numFmtId="168" fontId="10" fillId="0" borderId="17" xfId="0" applyNumberFormat="1" applyFont="1" applyBorder="1" applyAlignment="1">
      <alignment horizontal="center" vertical="center"/>
    </xf>
    <xf numFmtId="0" fontId="14" fillId="0" borderId="10" xfId="0" applyFont="1" applyBorder="1" applyAlignment="1">
      <alignment horizontal="center" vertical="center"/>
    </xf>
    <xf numFmtId="0" fontId="14" fillId="0" borderId="7" xfId="0" applyFont="1" applyBorder="1" applyAlignment="1">
      <alignment horizontal="center" vertical="center"/>
    </xf>
    <xf numFmtId="166" fontId="10" fillId="0" borderId="11" xfId="0" applyNumberFormat="1" applyFont="1" applyBorder="1" applyAlignment="1">
      <alignment horizontal="center" vertical="center"/>
    </xf>
    <xf numFmtId="0" fontId="10" fillId="0" borderId="11" xfId="0" applyFont="1" applyBorder="1" applyAlignment="1">
      <alignment horizontal="center" vertical="center"/>
    </xf>
    <xf numFmtId="0" fontId="33" fillId="34" borderId="1" xfId="0" applyFont="1" applyFill="1" applyBorder="1" applyAlignment="1">
      <alignment horizontal="center" vertical="center" wrapText="1"/>
    </xf>
    <xf numFmtId="0" fontId="13" fillId="22" borderId="1" xfId="0" applyFont="1" applyFill="1" applyBorder="1" applyAlignment="1">
      <alignment horizontal="center" vertical="center" wrapText="1"/>
    </xf>
    <xf numFmtId="0" fontId="33" fillId="22" borderId="1" xfId="0" applyFont="1" applyFill="1" applyBorder="1" applyAlignment="1">
      <alignment horizontal="center" vertical="center"/>
    </xf>
    <xf numFmtId="0" fontId="33" fillId="22" borderId="1" xfId="0" applyFont="1" applyFill="1" applyBorder="1" applyAlignment="1">
      <alignment horizontal="center" vertical="center" wrapText="1"/>
    </xf>
    <xf numFmtId="0" fontId="33" fillId="23" borderId="1" xfId="0" applyFont="1" applyFill="1" applyBorder="1" applyAlignment="1">
      <alignment horizontal="center" vertical="center" wrapText="1"/>
    </xf>
    <xf numFmtId="0" fontId="33" fillId="7" borderId="1" xfId="0" applyFont="1" applyFill="1" applyBorder="1" applyAlignment="1">
      <alignment horizontal="center" vertical="center" wrapText="1"/>
    </xf>
    <xf numFmtId="0" fontId="11" fillId="2" borderId="64" xfId="0" applyFont="1" applyFill="1" applyBorder="1" applyAlignment="1">
      <alignment horizontal="center" vertical="top" wrapText="1"/>
    </xf>
    <xf numFmtId="0" fontId="11" fillId="2" borderId="49" xfId="0" applyFont="1" applyFill="1" applyBorder="1" applyAlignment="1">
      <alignment horizontal="center" vertical="top" wrapText="1"/>
    </xf>
    <xf numFmtId="0" fontId="11" fillId="2" borderId="19" xfId="0" applyFont="1" applyFill="1" applyBorder="1" applyAlignment="1">
      <alignment horizontal="center" vertical="top" wrapText="1"/>
    </xf>
    <xf numFmtId="0" fontId="11" fillId="2" borderId="36" xfId="0" applyFont="1" applyFill="1" applyBorder="1" applyAlignment="1">
      <alignment horizontal="center" vertical="center" wrapText="1"/>
    </xf>
    <xf numFmtId="0" fontId="11" fillId="2" borderId="0" xfId="0" applyFont="1" applyFill="1" applyAlignment="1">
      <alignment horizontal="center" vertical="center" wrapText="1"/>
    </xf>
    <xf numFmtId="0" fontId="20" fillId="30" borderId="49" xfId="0" applyFont="1" applyFill="1" applyBorder="1" applyAlignment="1">
      <alignment horizontal="center" vertical="center" wrapText="1"/>
    </xf>
    <xf numFmtId="0" fontId="20" fillId="30" borderId="50" xfId="0" applyFont="1" applyFill="1" applyBorder="1" applyAlignment="1">
      <alignment horizontal="center" vertical="center" wrapText="1"/>
    </xf>
    <xf numFmtId="0" fontId="15" fillId="30" borderId="1" xfId="0" applyFont="1" applyFill="1" applyBorder="1" applyAlignment="1">
      <alignment horizontal="center" vertical="center" wrapText="1"/>
    </xf>
    <xf numFmtId="0" fontId="15" fillId="30" borderId="3" xfId="0" applyFont="1" applyFill="1" applyBorder="1" applyAlignment="1">
      <alignment horizontal="center" vertical="center" wrapText="1"/>
    </xf>
    <xf numFmtId="0" fontId="20" fillId="32" borderId="49" xfId="0" applyFont="1" applyFill="1" applyBorder="1" applyAlignment="1">
      <alignment horizontal="center" vertical="center" wrapText="1"/>
    </xf>
    <xf numFmtId="0" fontId="20" fillId="32" borderId="19" xfId="0" applyFont="1" applyFill="1" applyBorder="1" applyAlignment="1">
      <alignment horizontal="center" vertical="center" wrapText="1"/>
    </xf>
    <xf numFmtId="0" fontId="15" fillId="32" borderId="1" xfId="0" applyFont="1" applyFill="1" applyBorder="1" applyAlignment="1">
      <alignment horizontal="center" vertical="center" wrapText="1"/>
    </xf>
    <xf numFmtId="0" fontId="15" fillId="32" borderId="11" xfId="0" applyFont="1" applyFill="1" applyBorder="1" applyAlignment="1">
      <alignment horizontal="center" vertical="center" wrapText="1"/>
    </xf>
    <xf numFmtId="0" fontId="20" fillId="30" borderId="19" xfId="0" applyFont="1" applyFill="1" applyBorder="1" applyAlignment="1">
      <alignment horizontal="center" vertical="center" wrapText="1"/>
    </xf>
    <xf numFmtId="20" fontId="15" fillId="30" borderId="11" xfId="0" applyNumberFormat="1" applyFont="1" applyFill="1" applyBorder="1" applyAlignment="1">
      <alignment horizontal="center" vertical="center" wrapText="1"/>
    </xf>
    <xf numFmtId="20" fontId="15" fillId="30" borderId="17" xfId="0" applyNumberFormat="1" applyFont="1" applyFill="1" applyBorder="1" applyAlignment="1">
      <alignment horizontal="center" vertical="center" wrapText="1"/>
    </xf>
    <xf numFmtId="0" fontId="15" fillId="30" borderId="1" xfId="0" applyFont="1" applyFill="1" applyBorder="1" applyAlignment="1">
      <alignment horizontal="justify" vertical="center" wrapText="1"/>
    </xf>
    <xf numFmtId="0" fontId="15" fillId="30" borderId="11" xfId="0" applyFont="1" applyFill="1" applyBorder="1" applyAlignment="1">
      <alignment horizontal="justify" vertical="center" wrapText="1"/>
    </xf>
    <xf numFmtId="20" fontId="15" fillId="30" borderId="1" xfId="0" applyNumberFormat="1" applyFont="1" applyFill="1" applyBorder="1" applyAlignment="1">
      <alignment horizontal="justify" vertical="center" wrapText="1"/>
    </xf>
    <xf numFmtId="20" fontId="15" fillId="30" borderId="11" xfId="0" applyNumberFormat="1" applyFont="1" applyFill="1" applyBorder="1" applyAlignment="1">
      <alignment horizontal="justify" vertical="center" wrapText="1"/>
    </xf>
    <xf numFmtId="0" fontId="20" fillId="32" borderId="50" xfId="0" applyFont="1" applyFill="1" applyBorder="1" applyAlignment="1">
      <alignment horizontal="center" vertical="center" wrapText="1"/>
    </xf>
    <xf numFmtId="0" fontId="15" fillId="32" borderId="3" xfId="0" applyFont="1" applyFill="1" applyBorder="1" applyAlignment="1">
      <alignment horizontal="center" vertical="center" wrapText="1"/>
    </xf>
    <xf numFmtId="1" fontId="33" fillId="26" borderId="10" xfId="0" applyNumberFormat="1" applyFont="1" applyFill="1" applyBorder="1" applyAlignment="1">
      <alignment horizontal="center" vertical="center" wrapText="1"/>
    </xf>
    <xf numFmtId="1" fontId="33" fillId="26" borderId="29" xfId="0" applyNumberFormat="1" applyFont="1" applyFill="1" applyBorder="1" applyAlignment="1">
      <alignment horizontal="center" vertical="center" wrapText="1"/>
    </xf>
    <xf numFmtId="1" fontId="33" fillId="26" borderId="7" xfId="0" applyNumberFormat="1" applyFont="1" applyFill="1" applyBorder="1" applyAlignment="1">
      <alignment horizontal="center" vertical="center" wrapText="1"/>
    </xf>
    <xf numFmtId="164" fontId="18" fillId="9" borderId="1" xfId="0" applyNumberFormat="1" applyFont="1" applyFill="1" applyBorder="1" applyAlignment="1">
      <alignment horizontal="center" vertical="center" wrapText="1"/>
    </xf>
    <xf numFmtId="0" fontId="14" fillId="21"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0" fontId="10" fillId="9" borderId="1" xfId="0" applyFont="1" applyFill="1" applyBorder="1" applyAlignment="1">
      <alignment horizontal="left" vertical="center" wrapText="1"/>
    </xf>
    <xf numFmtId="0" fontId="10" fillId="11" borderId="1" xfId="0" applyFont="1" applyFill="1" applyBorder="1" applyAlignment="1">
      <alignment horizontal="center" vertical="center" wrapText="1"/>
    </xf>
    <xf numFmtId="0" fontId="18"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0" fillId="3" borderId="44"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5" xfId="0" applyFont="1" applyFill="1" applyBorder="1" applyAlignment="1">
      <alignment horizontal="center" vertical="center" wrapText="1"/>
    </xf>
    <xf numFmtId="164" fontId="18" fillId="11" borderId="1" xfId="0" applyNumberFormat="1"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0" fillId="11"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14" fillId="4" borderId="1" xfId="0" applyFont="1" applyFill="1" applyBorder="1" applyAlignment="1">
      <alignment horizontal="justify" vertical="center" wrapText="1"/>
    </xf>
    <xf numFmtId="0" fontId="12" fillId="21" borderId="1" xfId="0" applyFont="1" applyFill="1" applyBorder="1" applyAlignment="1">
      <alignment horizontal="center" vertical="center" wrapText="1"/>
    </xf>
    <xf numFmtId="10" fontId="14" fillId="22" borderId="11" xfId="2" applyNumberFormat="1" applyFont="1" applyFill="1" applyBorder="1" applyAlignment="1">
      <alignment horizontal="center" vertical="center" wrapText="1"/>
    </xf>
    <xf numFmtId="10" fontId="14" fillId="22" borderId="8" xfId="2" applyNumberFormat="1" applyFont="1" applyFill="1" applyBorder="1" applyAlignment="1">
      <alignment horizontal="center" vertical="center" wrapText="1"/>
    </xf>
    <xf numFmtId="42" fontId="10" fillId="20" borderId="1" xfId="1" applyFont="1" applyFill="1" applyBorder="1" applyAlignment="1">
      <alignment horizontal="center" vertical="center" wrapText="1"/>
    </xf>
    <xf numFmtId="10" fontId="10" fillId="20" borderId="1" xfId="2" applyNumberFormat="1" applyFont="1" applyFill="1" applyBorder="1" applyAlignment="1">
      <alignment horizontal="center" vertical="center" wrapText="1"/>
    </xf>
    <xf numFmtId="0" fontId="10" fillId="20"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42" fontId="10" fillId="13" borderId="11" xfId="1" applyFont="1" applyFill="1" applyBorder="1" applyAlignment="1">
      <alignment horizontal="center" vertical="center" wrapText="1"/>
    </xf>
    <xf numFmtId="42" fontId="10" fillId="13" borderId="8" xfId="1" applyFont="1" applyFill="1" applyBorder="1" applyAlignment="1">
      <alignment horizontal="center" vertical="center" wrapText="1"/>
    </xf>
    <xf numFmtId="0" fontId="10" fillId="13" borderId="1" xfId="0" applyFont="1" applyFill="1" applyBorder="1" applyAlignment="1">
      <alignment horizontal="center" vertical="center"/>
    </xf>
    <xf numFmtId="42" fontId="10" fillId="13" borderId="1" xfId="1" applyFont="1" applyFill="1" applyBorder="1" applyAlignment="1">
      <alignment horizontal="center" vertical="center" wrapText="1"/>
    </xf>
    <xf numFmtId="0" fontId="15" fillId="13" borderId="1" xfId="0" applyFont="1" applyFill="1" applyBorder="1" applyAlignment="1">
      <alignment horizontal="center" vertical="center" wrapText="1"/>
    </xf>
    <xf numFmtId="0" fontId="0" fillId="13" borderId="1" xfId="0" applyFill="1" applyBorder="1" applyAlignment="1">
      <alignment horizontal="center" vertical="center" wrapText="1"/>
    </xf>
    <xf numFmtId="0" fontId="18" fillId="13" borderId="1" xfId="0" applyFont="1" applyFill="1" applyBorder="1" applyAlignment="1">
      <alignment horizontal="center" vertical="center" wrapText="1"/>
    </xf>
    <xf numFmtId="0" fontId="18" fillId="13" borderId="1" xfId="0" applyFont="1" applyFill="1" applyBorder="1" applyAlignment="1">
      <alignment horizontal="center" vertical="center"/>
    </xf>
    <xf numFmtId="42" fontId="14" fillId="22" borderId="1" xfId="1" applyFont="1" applyFill="1" applyBorder="1" applyAlignment="1">
      <alignment horizontal="center" vertical="center" wrapText="1"/>
    </xf>
    <xf numFmtId="42" fontId="10" fillId="20" borderId="12" xfId="0" applyNumberFormat="1" applyFont="1" applyFill="1" applyBorder="1" applyAlignment="1">
      <alignment horizontal="center" vertical="center" wrapText="1"/>
    </xf>
    <xf numFmtId="0" fontId="10" fillId="20" borderId="8" xfId="0" applyFont="1" applyFill="1" applyBorder="1" applyAlignment="1">
      <alignment horizontal="center" vertical="center" wrapText="1"/>
    </xf>
    <xf numFmtId="10" fontId="10" fillId="22" borderId="11" xfId="2" applyNumberFormat="1" applyFont="1" applyFill="1" applyBorder="1" applyAlignment="1">
      <alignment horizontal="center" vertical="center" wrapText="1"/>
    </xf>
    <xf numFmtId="10" fontId="10" fillId="22" borderId="8" xfId="2" applyNumberFormat="1" applyFont="1" applyFill="1" applyBorder="1" applyAlignment="1">
      <alignment horizontal="center" vertical="center" wrapText="1"/>
    </xf>
    <xf numFmtId="42" fontId="10" fillId="20" borderId="11" xfId="0" applyNumberFormat="1" applyFont="1" applyFill="1" applyBorder="1" applyAlignment="1">
      <alignment horizontal="center" vertical="center" wrapText="1"/>
    </xf>
    <xf numFmtId="42" fontId="10" fillId="20" borderId="8" xfId="0" applyNumberFormat="1" applyFont="1" applyFill="1" applyBorder="1" applyAlignment="1">
      <alignment horizontal="center" vertical="center" wrapText="1"/>
    </xf>
    <xf numFmtId="0" fontId="10" fillId="20" borderId="18" xfId="0" applyFont="1" applyFill="1" applyBorder="1" applyAlignment="1">
      <alignment horizontal="left" vertical="center" wrapText="1"/>
    </xf>
    <xf numFmtId="0" fontId="10" fillId="20" borderId="27" xfId="0" applyFont="1" applyFill="1" applyBorder="1" applyAlignment="1">
      <alignment horizontal="left" vertical="center" wrapText="1"/>
    </xf>
    <xf numFmtId="0" fontId="10" fillId="20" borderId="44" xfId="0" applyFont="1" applyFill="1" applyBorder="1" applyAlignment="1">
      <alignment horizontal="left" vertical="center" wrapText="1"/>
    </xf>
    <xf numFmtId="0" fontId="10" fillId="20" borderId="14" xfId="0" applyFont="1" applyFill="1" applyBorder="1" applyAlignment="1">
      <alignment horizontal="left" vertical="center" wrapText="1"/>
    </xf>
    <xf numFmtId="0" fontId="10" fillId="20" borderId="28" xfId="0" applyFont="1" applyFill="1" applyBorder="1" applyAlignment="1">
      <alignment horizontal="left" vertical="center" wrapText="1"/>
    </xf>
    <xf numFmtId="0" fontId="10" fillId="20" borderId="15" xfId="0" applyFont="1" applyFill="1" applyBorder="1" applyAlignment="1">
      <alignment horizontal="left" vertical="center" wrapText="1"/>
    </xf>
    <xf numFmtId="0" fontId="18" fillId="15" borderId="12" xfId="0" applyFont="1" applyFill="1" applyBorder="1" applyAlignment="1">
      <alignment horizontal="center" vertical="center" wrapText="1"/>
    </xf>
    <xf numFmtId="0" fontId="18" fillId="15" borderId="17" xfId="0" applyFont="1" applyFill="1" applyBorder="1" applyAlignment="1">
      <alignment horizontal="center" vertical="center" wrapText="1"/>
    </xf>
    <xf numFmtId="0" fontId="18" fillId="15" borderId="8" xfId="0" applyFont="1" applyFill="1" applyBorder="1" applyAlignment="1">
      <alignment horizontal="center" vertical="center" wrapText="1"/>
    </xf>
    <xf numFmtId="0" fontId="0" fillId="15" borderId="11" xfId="0" applyFill="1" applyBorder="1" applyAlignment="1">
      <alignment horizontal="center" vertical="center" wrapText="1"/>
    </xf>
    <xf numFmtId="0" fontId="0" fillId="15" borderId="17" xfId="0" applyFill="1" applyBorder="1" applyAlignment="1">
      <alignment horizontal="center" vertical="center" wrapText="1"/>
    </xf>
    <xf numFmtId="0" fontId="0" fillId="15" borderId="8" xfId="0" applyFill="1" applyBorder="1" applyAlignment="1">
      <alignment horizontal="center" vertical="center" wrapText="1"/>
    </xf>
    <xf numFmtId="0" fontId="14" fillId="4" borderId="8" xfId="0" applyFont="1" applyFill="1" applyBorder="1" applyAlignment="1">
      <alignment horizontal="justify" vertical="center" wrapText="1"/>
    </xf>
    <xf numFmtId="0" fontId="14" fillId="4" borderId="11" xfId="0" applyFont="1" applyFill="1" applyBorder="1" applyAlignment="1">
      <alignment horizontal="justify" vertical="center" wrapText="1"/>
    </xf>
    <xf numFmtId="0" fontId="12" fillId="3" borderId="10" xfId="0" applyFont="1" applyFill="1" applyBorder="1" applyAlignment="1">
      <alignment horizontal="left" vertical="center" wrapText="1"/>
    </xf>
    <xf numFmtId="0" fontId="12" fillId="3" borderId="29"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4" fillId="22" borderId="14" xfId="0" applyFont="1" applyFill="1" applyBorder="1" applyAlignment="1">
      <alignment horizontal="center" vertical="center" wrapText="1"/>
    </xf>
    <xf numFmtId="0" fontId="14" fillId="22" borderId="18" xfId="0" applyFont="1" applyFill="1" applyBorder="1" applyAlignment="1">
      <alignment horizontal="center" vertical="center" wrapText="1"/>
    </xf>
    <xf numFmtId="42" fontId="10" fillId="22" borderId="11" xfId="1" applyFont="1" applyFill="1" applyBorder="1" applyAlignment="1">
      <alignment horizontal="center" vertical="center" wrapText="1"/>
    </xf>
    <xf numFmtId="42" fontId="10" fillId="22" borderId="17" xfId="1" applyFont="1" applyFill="1" applyBorder="1" applyAlignment="1">
      <alignment horizontal="center" vertical="center" wrapText="1"/>
    </xf>
    <xf numFmtId="42" fontId="10" fillId="22" borderId="8" xfId="1" applyFont="1" applyFill="1" applyBorder="1" applyAlignment="1">
      <alignment horizontal="center" vertical="center" wrapText="1"/>
    </xf>
    <xf numFmtId="42" fontId="36" fillId="22" borderId="11" xfId="1" applyFont="1" applyFill="1" applyBorder="1" applyAlignment="1">
      <alignment horizontal="center" vertical="center" wrapText="1"/>
    </xf>
    <xf numFmtId="42" fontId="36" fillId="22" borderId="17" xfId="1" applyFont="1" applyFill="1" applyBorder="1" applyAlignment="1">
      <alignment horizontal="center" vertical="center" wrapText="1"/>
    </xf>
    <xf numFmtId="42" fontId="36" fillId="22" borderId="8" xfId="1" applyFont="1" applyFill="1" applyBorder="1" applyAlignment="1">
      <alignment horizontal="center" vertical="center" wrapText="1"/>
    </xf>
    <xf numFmtId="10" fontId="36" fillId="22" borderId="11" xfId="2" applyNumberFormat="1" applyFont="1" applyFill="1" applyBorder="1" applyAlignment="1">
      <alignment horizontal="center" vertical="center" wrapText="1"/>
    </xf>
    <xf numFmtId="10" fontId="36" fillId="22" borderId="17" xfId="2" applyNumberFormat="1" applyFont="1" applyFill="1" applyBorder="1" applyAlignment="1">
      <alignment horizontal="center" vertical="center" wrapText="1"/>
    </xf>
    <xf numFmtId="10" fontId="36" fillId="22" borderId="8" xfId="2" applyNumberFormat="1" applyFont="1" applyFill="1" applyBorder="1" applyAlignment="1">
      <alignment horizontal="center" vertical="center" wrapText="1"/>
    </xf>
    <xf numFmtId="0" fontId="12" fillId="22" borderId="6" xfId="0" applyFont="1" applyFill="1" applyBorder="1" applyAlignment="1">
      <alignment horizontal="center" vertical="center" wrapText="1"/>
    </xf>
    <xf numFmtId="0" fontId="12" fillId="22" borderId="4" xfId="0" applyFont="1" applyFill="1" applyBorder="1" applyAlignment="1">
      <alignment horizontal="center" vertical="center" wrapText="1"/>
    </xf>
    <xf numFmtId="0" fontId="12" fillId="22" borderId="5" xfId="0" applyFont="1" applyFill="1" applyBorder="1" applyAlignment="1">
      <alignment horizontal="center" vertical="center" wrapText="1"/>
    </xf>
    <xf numFmtId="0" fontId="14" fillId="22" borderId="8" xfId="0" applyFont="1" applyFill="1" applyBorder="1" applyAlignment="1">
      <alignment horizontal="center" vertical="center" wrapText="1"/>
    </xf>
    <xf numFmtId="0" fontId="14" fillId="22" borderId="11" xfId="0" applyFont="1" applyFill="1" applyBorder="1" applyAlignment="1">
      <alignment horizontal="center" vertical="center" wrapText="1"/>
    </xf>
    <xf numFmtId="10" fontId="10" fillId="22" borderId="17" xfId="2" applyNumberFormat="1" applyFont="1" applyFill="1" applyBorder="1" applyAlignment="1">
      <alignment horizontal="center" vertical="center" wrapText="1"/>
    </xf>
    <xf numFmtId="42" fontId="36" fillId="15" borderId="1" xfId="1" applyFont="1" applyFill="1" applyBorder="1" applyAlignment="1">
      <alignment horizontal="center" vertical="center" wrapText="1"/>
    </xf>
    <xf numFmtId="0" fontId="10" fillId="20" borderId="36" xfId="0" applyFont="1" applyFill="1" applyBorder="1" applyAlignment="1">
      <alignment horizontal="left" vertical="center" wrapText="1"/>
    </xf>
    <xf numFmtId="0" fontId="10" fillId="20" borderId="0" xfId="0" applyFont="1" applyFill="1" applyAlignment="1">
      <alignment horizontal="left" vertical="center" wrapText="1"/>
    </xf>
    <xf numFmtId="0" fontId="10" fillId="20" borderId="43" xfId="0" applyFont="1" applyFill="1" applyBorder="1" applyAlignment="1">
      <alignment horizontal="left" vertical="center" wrapText="1"/>
    </xf>
    <xf numFmtId="42" fontId="10" fillId="20" borderId="11" xfId="1" applyFont="1" applyFill="1" applyBorder="1" applyAlignment="1">
      <alignment horizontal="center" vertical="center" wrapText="1"/>
    </xf>
    <xf numFmtId="42" fontId="10" fillId="20" borderId="8" xfId="1" applyFont="1" applyFill="1" applyBorder="1" applyAlignment="1">
      <alignment horizontal="center" vertical="center" wrapText="1"/>
    </xf>
    <xf numFmtId="42" fontId="10" fillId="20" borderId="17" xfId="1" applyFont="1" applyFill="1" applyBorder="1" applyAlignment="1">
      <alignment horizontal="center" vertical="center" wrapText="1"/>
    </xf>
    <xf numFmtId="0" fontId="11" fillId="2" borderId="18"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1" fillId="2" borderId="44"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42" fontId="10" fillId="7" borderId="1" xfId="1" applyFont="1" applyFill="1" applyBorder="1" applyAlignment="1">
      <alignment horizontal="center" vertical="center" wrapText="1"/>
    </xf>
    <xf numFmtId="42" fontId="10" fillId="7" borderId="11" xfId="1" applyFont="1" applyFill="1" applyBorder="1" applyAlignment="1">
      <alignment horizontal="center" vertical="center" wrapText="1"/>
    </xf>
    <xf numFmtId="42" fontId="10" fillId="7" borderId="8" xfId="1" applyFont="1" applyFill="1" applyBorder="1" applyAlignment="1">
      <alignment horizontal="center" vertical="center" wrapText="1"/>
    </xf>
    <xf numFmtId="0" fontId="14" fillId="21" borderId="10" xfId="0" applyFont="1" applyFill="1" applyBorder="1" applyAlignment="1">
      <alignment horizontal="center" vertical="center" wrapText="1"/>
    </xf>
    <xf numFmtId="0" fontId="14" fillId="21" borderId="29" xfId="0" applyFont="1" applyFill="1" applyBorder="1" applyAlignment="1">
      <alignment horizontal="center" vertical="center" wrapText="1"/>
    </xf>
    <xf numFmtId="0" fontId="14" fillId="21" borderId="7"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9" borderId="29"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0" fillId="13" borderId="10" xfId="0" applyFont="1" applyFill="1" applyBorder="1" applyAlignment="1">
      <alignment horizontal="left" vertical="center" wrapText="1"/>
    </xf>
    <xf numFmtId="0" fontId="10" fillId="13" borderId="29"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0" fillId="9" borderId="11" xfId="0" applyFill="1" applyBorder="1" applyAlignment="1">
      <alignment horizontal="center" vertical="center" wrapText="1"/>
    </xf>
    <xf numFmtId="0" fontId="0" fillId="9" borderId="17" xfId="0" applyFill="1" applyBorder="1" applyAlignment="1">
      <alignment horizontal="center" vertical="center" wrapText="1"/>
    </xf>
    <xf numFmtId="0" fontId="0" fillId="9" borderId="8" xfId="0" applyFill="1" applyBorder="1" applyAlignment="1">
      <alignment horizontal="center" vertical="center" wrapText="1"/>
    </xf>
    <xf numFmtId="0" fontId="18" fillId="9" borderId="11" xfId="0" applyFont="1" applyFill="1" applyBorder="1" applyAlignment="1">
      <alignment horizontal="center" vertical="center" wrapText="1"/>
    </xf>
    <xf numFmtId="0" fontId="18" fillId="9" borderId="17" xfId="0" applyFont="1" applyFill="1" applyBorder="1" applyAlignment="1">
      <alignment horizontal="center" vertical="center" wrapText="1"/>
    </xf>
    <xf numFmtId="0" fontId="18" fillId="9" borderId="8" xfId="0" applyFont="1" applyFill="1" applyBorder="1" applyAlignment="1">
      <alignment horizontal="center" vertical="center" wrapText="1"/>
    </xf>
    <xf numFmtId="42" fontId="10" fillId="9" borderId="11" xfId="1" applyFont="1" applyFill="1" applyBorder="1" applyAlignment="1">
      <alignment horizontal="center" vertical="center" wrapText="1"/>
    </xf>
    <xf numFmtId="42" fontId="10" fillId="9" borderId="17" xfId="1" applyFont="1" applyFill="1" applyBorder="1" applyAlignment="1">
      <alignment horizontal="center" vertical="center" wrapText="1"/>
    </xf>
    <xf numFmtId="42" fontId="10" fillId="9" borderId="8" xfId="1" applyFont="1" applyFill="1" applyBorder="1" applyAlignment="1">
      <alignment horizontal="center" vertical="center" wrapText="1"/>
    </xf>
    <xf numFmtId="0" fontId="10" fillId="20" borderId="10" xfId="0" applyFont="1" applyFill="1" applyBorder="1" applyAlignment="1">
      <alignment horizontal="left" vertical="center" wrapText="1"/>
    </xf>
    <xf numFmtId="0" fontId="10" fillId="20" borderId="29" xfId="0" applyFont="1" applyFill="1" applyBorder="1" applyAlignment="1">
      <alignment horizontal="left" vertical="center" wrapText="1"/>
    </xf>
    <xf numFmtId="0" fontId="10" fillId="20" borderId="7" xfId="0" applyFont="1" applyFill="1" applyBorder="1" applyAlignment="1">
      <alignment horizontal="left" vertical="center" wrapText="1"/>
    </xf>
    <xf numFmtId="0" fontId="18" fillId="15" borderId="11" xfId="0" applyFont="1" applyFill="1" applyBorder="1" applyAlignment="1">
      <alignment horizontal="center" vertical="center" wrapText="1"/>
    </xf>
    <xf numFmtId="42" fontId="10" fillId="15" borderId="12" xfId="1" applyFont="1" applyFill="1" applyBorder="1" applyAlignment="1">
      <alignment horizontal="center" vertical="center" wrapText="1"/>
    </xf>
    <xf numFmtId="42" fontId="10" fillId="15" borderId="9" xfId="1" applyFont="1" applyFill="1" applyBorder="1" applyAlignment="1">
      <alignment horizontal="center" vertical="center" wrapText="1"/>
    </xf>
    <xf numFmtId="9" fontId="15" fillId="15" borderId="12" xfId="0" applyNumberFormat="1" applyFont="1" applyFill="1" applyBorder="1" applyAlignment="1">
      <alignment horizontal="center" vertical="center"/>
    </xf>
    <xf numFmtId="0" fontId="10" fillId="20" borderId="1" xfId="0" applyFont="1" applyFill="1" applyBorder="1" applyAlignment="1">
      <alignment horizontal="left" vertical="center" wrapText="1"/>
    </xf>
    <xf numFmtId="9" fontId="17" fillId="15" borderId="8" xfId="0" applyNumberFormat="1" applyFont="1" applyFill="1" applyBorder="1" applyAlignment="1">
      <alignment horizontal="center" vertical="center"/>
    </xf>
    <xf numFmtId="0" fontId="13" fillId="20" borderId="10" xfId="0" applyFont="1" applyFill="1" applyBorder="1" applyAlignment="1">
      <alignment horizontal="left" vertical="center" wrapText="1"/>
    </xf>
    <xf numFmtId="0" fontId="13" fillId="20" borderId="29" xfId="0" applyFont="1" applyFill="1" applyBorder="1" applyAlignment="1">
      <alignment horizontal="left" vertical="center" wrapText="1"/>
    </xf>
    <xf numFmtId="0" fontId="13" fillId="20" borderId="7" xfId="0" applyFont="1" applyFill="1" applyBorder="1" applyAlignment="1">
      <alignment horizontal="left" vertical="center" wrapText="1"/>
    </xf>
    <xf numFmtId="0" fontId="13" fillId="20" borderId="46" xfId="0" applyFont="1" applyFill="1" applyBorder="1" applyAlignment="1">
      <alignment horizontal="left" vertical="center" wrapText="1"/>
    </xf>
    <xf numFmtId="0" fontId="13" fillId="20" borderId="0" xfId="0" applyFont="1" applyFill="1" applyAlignment="1">
      <alignment horizontal="left" vertical="center" wrapText="1"/>
    </xf>
    <xf numFmtId="0" fontId="13" fillId="20" borderId="18" xfId="0" applyFont="1" applyFill="1" applyBorder="1" applyAlignment="1">
      <alignment horizontal="left" vertical="center" wrapText="1"/>
    </xf>
    <xf numFmtId="0" fontId="13" fillId="20" borderId="27" xfId="0" applyFont="1" applyFill="1" applyBorder="1" applyAlignment="1">
      <alignment horizontal="left" vertical="center" wrapText="1"/>
    </xf>
    <xf numFmtId="0" fontId="13" fillId="20" borderId="44" xfId="0" applyFont="1" applyFill="1" applyBorder="1" applyAlignment="1">
      <alignment horizontal="left" vertical="center" wrapText="1"/>
    </xf>
    <xf numFmtId="0" fontId="13" fillId="20" borderId="14" xfId="0" applyFont="1" applyFill="1" applyBorder="1" applyAlignment="1">
      <alignment horizontal="left" vertical="center" wrapText="1"/>
    </xf>
    <xf numFmtId="0" fontId="13" fillId="20" borderId="28" xfId="0" applyFont="1" applyFill="1" applyBorder="1" applyAlignment="1">
      <alignment horizontal="left" vertical="center" wrapText="1"/>
    </xf>
    <xf numFmtId="0" fontId="13" fillId="20" borderId="15" xfId="0" applyFont="1" applyFill="1" applyBorder="1" applyAlignment="1">
      <alignment horizontal="left" vertical="center" wrapText="1"/>
    </xf>
    <xf numFmtId="0" fontId="13" fillId="22" borderId="13" xfId="0" applyFont="1" applyFill="1" applyBorder="1" applyAlignment="1">
      <alignment horizontal="center" vertical="center" wrapText="1"/>
    </xf>
    <xf numFmtId="0" fontId="13" fillId="22" borderId="52" xfId="0" applyFont="1" applyFill="1" applyBorder="1" applyAlignment="1">
      <alignment horizontal="center" vertical="center" wrapText="1"/>
    </xf>
    <xf numFmtId="9" fontId="41" fillId="26" borderId="59" xfId="0" applyNumberFormat="1" applyFont="1" applyFill="1" applyBorder="1" applyAlignment="1">
      <alignment horizontal="center" vertical="center"/>
    </xf>
    <xf numFmtId="9" fontId="41" fillId="26" borderId="60" xfId="0" applyNumberFormat="1" applyFont="1" applyFill="1" applyBorder="1" applyAlignment="1">
      <alignment horizontal="center" vertical="center"/>
    </xf>
    <xf numFmtId="9" fontId="41" fillId="26" borderId="61" xfId="0" applyNumberFormat="1" applyFont="1" applyFill="1" applyBorder="1" applyAlignment="1">
      <alignment horizontal="center" vertical="center"/>
    </xf>
    <xf numFmtId="0" fontId="13" fillId="22" borderId="47" xfId="0" applyFont="1" applyFill="1" applyBorder="1" applyAlignment="1">
      <alignment horizontal="center"/>
    </xf>
    <xf numFmtId="0" fontId="13" fillId="22" borderId="4" xfId="0" applyFont="1" applyFill="1" applyBorder="1" applyAlignment="1">
      <alignment horizontal="center"/>
    </xf>
    <xf numFmtId="0" fontId="13" fillId="22" borderId="48" xfId="0" applyFont="1" applyFill="1" applyBorder="1" applyAlignment="1">
      <alignment horizontal="center"/>
    </xf>
    <xf numFmtId="0" fontId="33" fillId="22" borderId="10" xfId="0" applyFont="1" applyFill="1" applyBorder="1" applyAlignment="1">
      <alignment horizontal="center"/>
    </xf>
    <xf numFmtId="0" fontId="33" fillId="22" borderId="29" xfId="0" applyFont="1" applyFill="1" applyBorder="1" applyAlignment="1">
      <alignment horizontal="center"/>
    </xf>
    <xf numFmtId="0" fontId="33" fillId="22" borderId="53" xfId="0" applyFont="1" applyFill="1" applyBorder="1" applyAlignment="1">
      <alignment horizontal="center"/>
    </xf>
    <xf numFmtId="0" fontId="13" fillId="22" borderId="56" xfId="0" applyFont="1" applyFill="1" applyBorder="1" applyAlignment="1">
      <alignment horizontal="center" vertical="center"/>
    </xf>
    <xf numFmtId="0" fontId="13" fillId="22" borderId="46" xfId="0" applyFont="1" applyFill="1" applyBorder="1" applyAlignment="1">
      <alignment horizontal="center" vertical="center"/>
    </xf>
    <xf numFmtId="0" fontId="13" fillId="22" borderId="57" xfId="0" applyFont="1" applyFill="1" applyBorder="1" applyAlignment="1">
      <alignment horizontal="center" vertical="center"/>
    </xf>
    <xf numFmtId="0" fontId="13" fillId="22" borderId="37" xfId="0" applyFont="1" applyFill="1" applyBorder="1" applyAlignment="1">
      <alignment horizontal="center" vertical="center"/>
    </xf>
    <xf numFmtId="0" fontId="13" fillId="22" borderId="45" xfId="0" applyFont="1" applyFill="1" applyBorder="1" applyAlignment="1">
      <alignment horizontal="center" vertical="center"/>
    </xf>
    <xf numFmtId="0" fontId="13" fillId="22" borderId="55" xfId="0" applyFont="1" applyFill="1" applyBorder="1" applyAlignment="1">
      <alignment horizontal="center" vertical="center"/>
    </xf>
    <xf numFmtId="0" fontId="14" fillId="22" borderId="47" xfId="0" applyFont="1" applyFill="1" applyBorder="1" applyAlignment="1">
      <alignment horizontal="center"/>
    </xf>
    <xf numFmtId="0" fontId="14" fillId="22" borderId="4" xfId="0" applyFont="1" applyFill="1" applyBorder="1" applyAlignment="1">
      <alignment horizontal="center"/>
    </xf>
    <xf numFmtId="0" fontId="14" fillId="22" borderId="48" xfId="0" applyFont="1" applyFill="1" applyBorder="1" applyAlignment="1">
      <alignment horizontal="center"/>
    </xf>
    <xf numFmtId="0" fontId="13" fillId="22" borderId="11" xfId="0" applyFont="1" applyFill="1" applyBorder="1" applyAlignment="1">
      <alignment horizontal="center" vertical="center" wrapText="1"/>
    </xf>
    <xf numFmtId="0" fontId="13" fillId="22" borderId="8" xfId="0" applyFont="1" applyFill="1" applyBorder="1" applyAlignment="1">
      <alignment horizontal="center" vertical="center" wrapText="1"/>
    </xf>
    <xf numFmtId="0" fontId="33" fillId="22" borderId="49" xfId="0" applyFont="1" applyFill="1" applyBorder="1" applyAlignment="1">
      <alignment horizontal="center" vertical="center"/>
    </xf>
    <xf numFmtId="0" fontId="33" fillId="22" borderId="1" xfId="0" applyFont="1" applyFill="1" applyBorder="1" applyAlignment="1">
      <alignment horizontal="center"/>
    </xf>
    <xf numFmtId="0" fontId="13" fillId="22" borderId="49" xfId="0" applyFont="1" applyFill="1" applyBorder="1" applyAlignment="1">
      <alignment horizontal="center" vertical="center"/>
    </xf>
    <xf numFmtId="0" fontId="33" fillId="22" borderId="7" xfId="0" applyFont="1" applyFill="1" applyBorder="1" applyAlignment="1">
      <alignment horizontal="center"/>
    </xf>
    <xf numFmtId="0" fontId="13" fillId="22" borderId="58" xfId="0" applyFont="1" applyFill="1" applyBorder="1" applyAlignment="1">
      <alignment horizontal="center" vertical="center" wrapText="1"/>
    </xf>
    <xf numFmtId="166" fontId="10" fillId="0" borderId="11" xfId="30" applyNumberFormat="1" applyFont="1" applyBorder="1" applyAlignment="1">
      <alignment horizontal="center" vertical="center"/>
    </xf>
    <xf numFmtId="166" fontId="10" fillId="0" borderId="17" xfId="30" applyNumberFormat="1" applyFont="1" applyBorder="1" applyAlignment="1">
      <alignment horizontal="center" vertical="center"/>
    </xf>
    <xf numFmtId="166" fontId="10" fillId="0" borderId="8" xfId="30" applyNumberFormat="1" applyFont="1" applyBorder="1" applyAlignment="1">
      <alignment horizontal="center" vertical="center"/>
    </xf>
    <xf numFmtId="0" fontId="10" fillId="0" borderId="11" xfId="0" applyFont="1" applyBorder="1" applyAlignment="1">
      <alignment horizontal="left" vertical="center" wrapText="1"/>
    </xf>
    <xf numFmtId="0" fontId="10" fillId="0" borderId="17" xfId="0" applyFont="1" applyBorder="1" applyAlignment="1">
      <alignment horizontal="left" vertical="center" wrapText="1"/>
    </xf>
    <xf numFmtId="0" fontId="10" fillId="0" borderId="8" xfId="0" applyFont="1" applyBorder="1" applyAlignment="1">
      <alignment horizontal="left" vertical="center" wrapText="1"/>
    </xf>
    <xf numFmtId="0" fontId="10" fillId="0" borderId="11" xfId="0" applyFont="1" applyBorder="1" applyAlignment="1">
      <alignment horizontal="left" vertical="center"/>
    </xf>
    <xf numFmtId="0" fontId="10" fillId="0" borderId="17" xfId="0" applyFont="1" applyBorder="1" applyAlignment="1">
      <alignment horizontal="left" vertical="center"/>
    </xf>
    <xf numFmtId="0" fontId="10" fillId="0" borderId="8" xfId="0" applyFont="1" applyBorder="1" applyAlignment="1">
      <alignment horizontal="left" vertical="center"/>
    </xf>
    <xf numFmtId="0" fontId="9" fillId="0" borderId="11" xfId="0" applyFont="1" applyBorder="1" applyAlignment="1">
      <alignment horizontal="center" vertical="center"/>
    </xf>
    <xf numFmtId="0" fontId="9" fillId="0" borderId="17"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8" xfId="0" applyFont="1" applyBorder="1" applyAlignment="1">
      <alignment horizontal="center" vertical="center" wrapText="1"/>
    </xf>
    <xf numFmtId="0" fontId="14" fillId="23" borderId="18" xfId="0" applyFont="1" applyFill="1" applyBorder="1" applyAlignment="1">
      <alignment horizontal="center" vertical="center" wrapText="1"/>
    </xf>
    <xf numFmtId="0" fontId="14" fillId="23" borderId="27" xfId="0" applyFont="1" applyFill="1" applyBorder="1" applyAlignment="1">
      <alignment horizontal="center" vertical="center" wrapText="1"/>
    </xf>
    <xf numFmtId="0" fontId="14" fillId="23" borderId="44" xfId="0" applyFont="1" applyFill="1" applyBorder="1" applyAlignment="1">
      <alignment horizontal="center" vertical="center" wrapText="1"/>
    </xf>
    <xf numFmtId="0" fontId="14" fillId="23" borderId="14" xfId="0" applyFont="1" applyFill="1" applyBorder="1" applyAlignment="1">
      <alignment horizontal="center" vertical="center" wrapText="1"/>
    </xf>
    <xf numFmtId="0" fontId="14" fillId="23" borderId="28" xfId="0" applyFont="1" applyFill="1" applyBorder="1" applyAlignment="1">
      <alignment horizontal="center" vertical="center" wrapText="1"/>
    </xf>
    <xf numFmtId="0" fontId="14" fillId="23" borderId="15" xfId="0" applyFont="1" applyFill="1" applyBorder="1" applyAlignment="1">
      <alignment horizontal="center" vertical="center" wrapText="1"/>
    </xf>
    <xf numFmtId="3" fontId="9" fillId="0" borderId="11" xfId="0" applyNumberFormat="1" applyFont="1" applyBorder="1" applyAlignment="1">
      <alignment horizontal="center" vertical="center"/>
    </xf>
    <xf numFmtId="3" fontId="9" fillId="0" borderId="17" xfId="0" applyNumberFormat="1" applyFont="1" applyBorder="1" applyAlignment="1">
      <alignment horizontal="center" vertical="center"/>
    </xf>
    <xf numFmtId="3" fontId="9" fillId="0" borderId="8" xfId="0" applyNumberFormat="1" applyFont="1" applyBorder="1" applyAlignment="1">
      <alignment horizontal="center" vertical="center"/>
    </xf>
    <xf numFmtId="3" fontId="9" fillId="0" borderId="11" xfId="0" applyNumberFormat="1" applyFont="1" applyBorder="1" applyAlignment="1">
      <alignment horizontal="center" vertical="center" wrapText="1"/>
    </xf>
    <xf numFmtId="3" fontId="9" fillId="0" borderId="17" xfId="0"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0" fontId="14" fillId="23" borderId="1" xfId="0" applyFont="1" applyFill="1" applyBorder="1" applyAlignment="1">
      <alignment horizontal="center" vertical="center"/>
    </xf>
    <xf numFmtId="0" fontId="14" fillId="27" borderId="1" xfId="0" applyFont="1" applyFill="1" applyBorder="1" applyAlignment="1">
      <alignment horizontal="left" vertical="center"/>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3" fontId="10" fillId="0" borderId="1" xfId="30" applyNumberFormat="1" applyFont="1" applyBorder="1" applyAlignment="1">
      <alignment horizontal="center" vertical="center"/>
    </xf>
    <xf numFmtId="0" fontId="9" fillId="0" borderId="11" xfId="0" applyFont="1" applyBorder="1" applyAlignment="1">
      <alignment horizontal="center" vertical="top" wrapText="1"/>
    </xf>
    <xf numFmtId="0" fontId="9" fillId="0" borderId="17" xfId="0" applyFont="1" applyBorder="1" applyAlignment="1">
      <alignment horizontal="center" vertical="top" wrapText="1"/>
    </xf>
    <xf numFmtId="0" fontId="9" fillId="0" borderId="8" xfId="0" applyFont="1" applyBorder="1" applyAlignment="1">
      <alignment horizontal="center" vertical="top" wrapText="1"/>
    </xf>
    <xf numFmtId="44" fontId="9" fillId="0" borderId="11" xfId="30" applyFont="1" applyBorder="1" applyAlignment="1">
      <alignment horizontal="center" vertical="center" wrapText="1"/>
    </xf>
    <xf numFmtId="44" fontId="9" fillId="0" borderId="17" xfId="30" applyFont="1" applyBorder="1" applyAlignment="1">
      <alignment horizontal="center" vertical="center" wrapText="1"/>
    </xf>
    <xf numFmtId="44" fontId="9" fillId="0" borderId="8" xfId="30" applyFont="1" applyBorder="1" applyAlignment="1">
      <alignment horizontal="center" vertical="center" wrapText="1"/>
    </xf>
    <xf numFmtId="44" fontId="9" fillId="0" borderId="1" xfId="30" applyFont="1" applyBorder="1" applyAlignment="1">
      <alignment horizontal="center" vertical="center"/>
    </xf>
    <xf numFmtId="0" fontId="9" fillId="0" borderId="11" xfId="0" applyFont="1" applyBorder="1" applyAlignment="1">
      <alignment horizontal="left" vertical="center" wrapText="1"/>
    </xf>
    <xf numFmtId="0" fontId="9" fillId="0" borderId="8" xfId="0" applyFont="1" applyBorder="1" applyAlignment="1">
      <alignment horizontal="left" vertical="center" wrapText="1"/>
    </xf>
  </cellXfs>
  <cellStyles count="42">
    <cellStyle name="Millares" xfId="4" builtinId="3"/>
    <cellStyle name="Millares [0]" xfId="5" builtinId="6"/>
    <cellStyle name="Millares [0] 2" xfId="20" xr:uid="{6596F289-B409-401D-A2CD-912812AD5A41}"/>
    <cellStyle name="Millares 2" xfId="9" xr:uid="{843D228D-F50B-44D3-8F64-820E0054FADC}"/>
    <cellStyle name="Millares 2 2" xfId="26" xr:uid="{EE2FB685-89FA-408F-98F6-A10B420872EE}"/>
    <cellStyle name="Millares 2 3" xfId="19" xr:uid="{11C45EC2-13E0-45A7-81E2-F33E06876BB2}"/>
    <cellStyle name="Millares 3" xfId="21" xr:uid="{14D896EB-4E9A-43A1-B3CC-4FE2D3662FDE}"/>
    <cellStyle name="Millares 4" xfId="23" xr:uid="{209B50C4-CBCF-41C3-86E2-017CCD78013B}"/>
    <cellStyle name="Millares 5" xfId="22" xr:uid="{B366FFD7-FA7F-400C-A697-F208908B1766}"/>
    <cellStyle name="Millares 6" xfId="12" xr:uid="{1323DB61-9DBD-481A-B1D5-4E6302058B91}"/>
    <cellStyle name="Millares 7" xfId="28" xr:uid="{2A7F6B58-A723-46CB-9302-C54581F29551}"/>
    <cellStyle name="Millares 8" xfId="34" xr:uid="{652480DE-FCEE-4C61-B92A-E5DCE85C0750}"/>
    <cellStyle name="Millares 9" xfId="41" xr:uid="{680EFBA4-6317-4BA2-B45D-D3C0D3625418}"/>
    <cellStyle name="Moneda" xfId="30" builtinId="4"/>
    <cellStyle name="Moneda [0]" xfId="1" builtinId="7"/>
    <cellStyle name="Moneda [0] 2" xfId="3" xr:uid="{0390D6FF-76F3-437F-BEAC-93638487FEBA}"/>
    <cellStyle name="Moneda [0] 2 2" xfId="18" xr:uid="{B70FC726-C22D-4917-8E88-1D6611373B72}"/>
    <cellStyle name="Moneda [0] 2 3" xfId="39" xr:uid="{A50F982D-B408-473E-BF77-34E2AA223DC3}"/>
    <cellStyle name="Moneda [0] 3" xfId="10" xr:uid="{176B30D5-D926-4F06-9666-7F368BCC922E}"/>
    <cellStyle name="Moneda [0] 4" xfId="35" xr:uid="{897728F4-4161-46F6-9968-822D666F15D7}"/>
    <cellStyle name="Moneda 10" xfId="40" xr:uid="{E924CD91-47A2-45F1-A8B5-0A902A57F9B1}"/>
    <cellStyle name="Moneda 2" xfId="8" xr:uid="{6804FCB6-AA62-4A3D-9D88-A42ADD88DBC8}"/>
    <cellStyle name="Moneda 3" xfId="11" xr:uid="{B35CB803-EB07-4186-840B-80EEAB94F8A9}"/>
    <cellStyle name="Moneda 4" xfId="13" xr:uid="{39DAACB4-50D1-43DF-BE83-A6ABB0924D8A}"/>
    <cellStyle name="Moneda 5" xfId="14" xr:uid="{2664B6BD-9A60-498B-B7C0-B180778F732E}"/>
    <cellStyle name="Moneda 6" xfId="15" xr:uid="{058F2248-AD5A-41A2-AE29-B4E259230BAE}"/>
    <cellStyle name="Moneda 7" xfId="27" xr:uid="{C21D790C-7F00-42B9-B369-84997BB05D08}"/>
    <cellStyle name="Moneda 8" xfId="29" xr:uid="{FE7D94F4-7794-407E-8DB5-4728702C98CF}"/>
    <cellStyle name="Moneda 9" xfId="33" xr:uid="{EC3583FE-FCBF-4BB6-A92A-0D65DD31E580}"/>
    <cellStyle name="Normal" xfId="0" builtinId="0"/>
    <cellStyle name="Normal 2" xfId="6" xr:uid="{CB6F941A-88CE-424E-B4EF-FB88FD8203E8}"/>
    <cellStyle name="Normal 2 2" xfId="24" xr:uid="{88ECBD35-BD01-4935-AA17-FCC0946A924E}"/>
    <cellStyle name="Normal 2 3" xfId="16" xr:uid="{50A47016-B810-4032-8320-2735FFD572CF}"/>
    <cellStyle name="Normal 2 4" xfId="37" xr:uid="{DB27FB62-A5A8-4A53-A75B-9A3D1039873B}"/>
    <cellStyle name="Normal 3" xfId="38" xr:uid="{B94D1F68-DE95-42DE-8BE6-5CCE23D9CE59}"/>
    <cellStyle name="Normal 4" xfId="31" xr:uid="{08B232C3-7A91-4E8F-B20E-C056EFD95DEF}"/>
    <cellStyle name="Normal 5" xfId="36" xr:uid="{83BEF115-1D24-4023-A39C-73E2E01990BD}"/>
    <cellStyle name="Porcentaje" xfId="2" builtinId="5"/>
    <cellStyle name="Porcentaje 2" xfId="7" xr:uid="{2C24F177-6050-4395-977A-23B25FFAF6A0}"/>
    <cellStyle name="Porcentaje 2 2" xfId="25" xr:uid="{7D25823E-4425-48E5-A581-8A77428CA6A8}"/>
    <cellStyle name="Porcentaje 2 3" xfId="17" xr:uid="{31BB02AE-47D2-48DF-BC1B-78A752D4A45D}"/>
    <cellStyle name="Porcentaje 3" xfId="32" xr:uid="{04098481-87DA-4E06-BD53-108EB49255C5}"/>
  </cellStyles>
  <dxfs count="0"/>
  <tableStyles count="0" defaultTableStyle="TableStyleMedium2" defaultPivotStyle="PivotStyleLight16"/>
  <colors>
    <mruColors>
      <color rgb="FFFF9900"/>
      <color rgb="FFFF7C80"/>
      <color rgb="FFFCD5B4"/>
      <color rgb="FFFAD6BE"/>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Ex1.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Septiembre 30</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967-45A5-8D3E-06E354676D0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967-45A5-8D3E-06E354676D0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POAI'!$Y$65,'[3]TRIMETRES POAI'!$AG$65)</c:f>
              <c:strCache>
                <c:ptCount val="2"/>
                <c:pt idx="0">
                  <c:v>% CUMPLIMIENTO TERCER TRIMESTRE</c:v>
                </c:pt>
                <c:pt idx="1">
                  <c:v>TOTAL CUMPLIMIENTO DE ACTIVIDADES -AÑO</c:v>
                </c:pt>
              </c:strCache>
            </c:strRef>
          </c:cat>
          <c:val>
            <c:numRef>
              <c:f>('[3]TRIMETRES POAI'!$Y$66,'[3]TRIMETRES POAI'!$AG$66)</c:f>
              <c:numCache>
                <c:formatCode>General</c:formatCode>
                <c:ptCount val="2"/>
                <c:pt idx="0">
                  <c:v>91.150677650810522</c:v>
                </c:pt>
                <c:pt idx="1">
                  <c:v>104.77226924627165</c:v>
                </c:pt>
              </c:numCache>
            </c:numRef>
          </c:val>
          <c:extLst>
            <c:ext xmlns:c16="http://schemas.microsoft.com/office/drawing/2014/chart" uri="{C3380CC4-5D6E-409C-BE32-E72D297353CC}">
              <c16:uniqueId val="{00000004-3967-45A5-8D3E-06E354676D09}"/>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A 30 de Septiembre</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8CA-4F56-B7F2-8C186199321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8CA-4F56-B7F2-8C186199321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8CA-4F56-B7F2-8C186199321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POAI'!$V$65:$X$65</c:f>
              <c:strCache>
                <c:ptCount val="3"/>
                <c:pt idx="0">
                  <c:v>ACTIVIDADES PROGRAMADAS AÑO</c:v>
                </c:pt>
                <c:pt idx="1">
                  <c:v>ACTIVIDADES PROGRAMADAS  TERCER TRIMESTRE</c:v>
                </c:pt>
                <c:pt idx="2">
                  <c:v>ACTIVIDADES EJECUTADAS TERCER TRIMESTRE</c:v>
                </c:pt>
              </c:strCache>
            </c:strRef>
          </c:cat>
          <c:val>
            <c:numRef>
              <c:f>'[3]TRIMETRES POAI'!$V$66:$X$66</c:f>
              <c:numCache>
                <c:formatCode>General</c:formatCode>
                <c:ptCount val="3"/>
                <c:pt idx="0">
                  <c:v>12431</c:v>
                </c:pt>
                <c:pt idx="1">
                  <c:v>3763</c:v>
                </c:pt>
                <c:pt idx="2">
                  <c:v>3430</c:v>
                </c:pt>
              </c:numCache>
            </c:numRef>
          </c:val>
          <c:extLst>
            <c:ext xmlns:c16="http://schemas.microsoft.com/office/drawing/2014/chart" uri="{C3380CC4-5D6E-409C-BE32-E72D297353CC}">
              <c16:uniqueId val="{00000006-C8CA-4F56-B7F2-8C1861993212}"/>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Avance del POAI A 30 de Septiembre</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FD7-4725-B049-AFB7FA791E5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FD7-4725-B049-AFB7FA791E5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FD7-4725-B049-AFB7FA791E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POAI'!$V$65,'[3]TRIMETRES POAI'!$Z$65:$AA$65)</c:f>
              <c:strCache>
                <c:ptCount val="3"/>
                <c:pt idx="0">
                  <c:v>ACTIVIDADES PROGRAMADAS AÑO</c:v>
                </c:pt>
                <c:pt idx="1">
                  <c:v>TOTAL ACTIVIDADES PROGRAMADAS AL TRIMESTRES</c:v>
                </c:pt>
                <c:pt idx="2">
                  <c:v>TOTAL EJECUTADAS  AL TERCER TRIMESTRE</c:v>
                </c:pt>
              </c:strCache>
            </c:strRef>
          </c:cat>
          <c:val>
            <c:numRef>
              <c:f>('[3]TRIMETRES POAI'!$V$66,'[3]TRIMETRES POAI'!$Z$66:$AA$66)</c:f>
              <c:numCache>
                <c:formatCode>General</c:formatCode>
                <c:ptCount val="3"/>
                <c:pt idx="0">
                  <c:v>12431</c:v>
                </c:pt>
                <c:pt idx="1">
                  <c:v>9468</c:v>
                </c:pt>
                <c:pt idx="2">
                  <c:v>10973</c:v>
                </c:pt>
              </c:numCache>
            </c:numRef>
          </c:val>
          <c:extLst>
            <c:ext xmlns:c16="http://schemas.microsoft.com/office/drawing/2014/chart" uri="{C3380CC4-5D6E-409C-BE32-E72D297353CC}">
              <c16:uniqueId val="{00000006-FFD7-4725-B049-AFB7FA791E58}"/>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Septiembre 30</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D5C-4837-988F-20ACBFDFF37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D5C-4837-988F-20ACBFDFF37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POAI'!$Y$65,'[3]TRIMETRES POAI'!$AG$65)</c:f>
              <c:strCache>
                <c:ptCount val="2"/>
                <c:pt idx="0">
                  <c:v>% CUMPLIMIENTO TERCER TRIMESTRE</c:v>
                </c:pt>
                <c:pt idx="1">
                  <c:v>TOTAL CUMPLIMIENTO DE ACTIVIDADES -AÑO</c:v>
                </c:pt>
              </c:strCache>
            </c:strRef>
          </c:cat>
          <c:val>
            <c:numRef>
              <c:f>('[3]TRIMETRES POAI'!$Y$66,'[3]TRIMETRES POAI'!$AG$66)</c:f>
              <c:numCache>
                <c:formatCode>General</c:formatCode>
                <c:ptCount val="2"/>
                <c:pt idx="0">
                  <c:v>91.150677650810522</c:v>
                </c:pt>
                <c:pt idx="1">
                  <c:v>104.77226924627165</c:v>
                </c:pt>
              </c:numCache>
            </c:numRef>
          </c:val>
          <c:extLst>
            <c:ext xmlns:c16="http://schemas.microsoft.com/office/drawing/2014/chart" uri="{C3380CC4-5D6E-409C-BE32-E72D297353CC}">
              <c16:uniqueId val="{00000004-7D5C-4837-988F-20ACBFDFF37D}"/>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A 30 de Septiembre</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F31-4717-A232-8EE57803291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F31-4717-A232-8EE57803291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1F31-4717-A232-8EE5780329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POAI'!$V$65:$X$65</c:f>
              <c:strCache>
                <c:ptCount val="3"/>
                <c:pt idx="0">
                  <c:v>ACTIVIDADES PROGRAMADAS AÑO</c:v>
                </c:pt>
                <c:pt idx="1">
                  <c:v>ACTIVIDADES PROGRAMADAS  TERCER TRIMESTRE</c:v>
                </c:pt>
                <c:pt idx="2">
                  <c:v>ACTIVIDADES EJECUTADAS TERCER TRIMESTRE</c:v>
                </c:pt>
              </c:strCache>
            </c:strRef>
          </c:cat>
          <c:val>
            <c:numRef>
              <c:f>'[3]TRIMETRES POAI'!$V$66:$X$66</c:f>
              <c:numCache>
                <c:formatCode>General</c:formatCode>
                <c:ptCount val="3"/>
                <c:pt idx="0">
                  <c:v>12431</c:v>
                </c:pt>
                <c:pt idx="1">
                  <c:v>3763</c:v>
                </c:pt>
                <c:pt idx="2">
                  <c:v>3430</c:v>
                </c:pt>
              </c:numCache>
            </c:numRef>
          </c:val>
          <c:extLst>
            <c:ext xmlns:c16="http://schemas.microsoft.com/office/drawing/2014/chart" uri="{C3380CC4-5D6E-409C-BE32-E72D297353CC}">
              <c16:uniqueId val="{00000006-1F31-4717-A232-8EE57803291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Avance del POAI A 30 de Septiembre</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BD9-4E0C-9191-BC70F326EF9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BD9-4E0C-9191-BC70F326EF9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BD9-4E0C-9191-BC70F326EF9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POAI'!$V$65,'[3]TRIMETRES POAI'!$Z$65:$AA$65)</c:f>
              <c:strCache>
                <c:ptCount val="3"/>
                <c:pt idx="0">
                  <c:v>ACTIVIDADES PROGRAMADAS AÑO</c:v>
                </c:pt>
                <c:pt idx="1">
                  <c:v>TOTAL ACTIVIDADES PROGRAMADAS AL TRIMESTRES</c:v>
                </c:pt>
                <c:pt idx="2">
                  <c:v>TOTAL EJECUTADAS  AL TERCER TRIMESTRE</c:v>
                </c:pt>
              </c:strCache>
            </c:strRef>
          </c:cat>
          <c:val>
            <c:numRef>
              <c:f>('[3]TRIMETRES POAI'!$V$66,'[3]TRIMETRES POAI'!$Z$66:$AA$66)</c:f>
              <c:numCache>
                <c:formatCode>General</c:formatCode>
                <c:ptCount val="3"/>
                <c:pt idx="0">
                  <c:v>12431</c:v>
                </c:pt>
                <c:pt idx="1">
                  <c:v>9468</c:v>
                </c:pt>
                <c:pt idx="2">
                  <c:v>10973</c:v>
                </c:pt>
              </c:numCache>
            </c:numRef>
          </c:val>
          <c:extLst>
            <c:ext xmlns:c16="http://schemas.microsoft.com/office/drawing/2014/chart" uri="{C3380CC4-5D6E-409C-BE32-E72D297353CC}">
              <c16:uniqueId val="{00000006-7BD9-4E0C-9191-BC70F326EF94}"/>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Septiembre 30</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0F4-4038-B7B7-6521FF8FFB3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0F4-4038-B7B7-6521FF8FFB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POAI'!$Y$65,'[3]TRIMETRES POAI'!$AG$65)</c:f>
              <c:strCache>
                <c:ptCount val="2"/>
                <c:pt idx="0">
                  <c:v>% CUMPLIMIENTO TERCER TRIMESTRE</c:v>
                </c:pt>
                <c:pt idx="1">
                  <c:v>TOTAL CUMPLIMIENTO DE ACTIVIDADES -AÑO</c:v>
                </c:pt>
              </c:strCache>
            </c:strRef>
          </c:cat>
          <c:val>
            <c:numRef>
              <c:f>('[3]TRIMETRES POAI'!$Y$66,'[3]TRIMETRES POAI'!$AG$66)</c:f>
              <c:numCache>
                <c:formatCode>General</c:formatCode>
                <c:ptCount val="2"/>
                <c:pt idx="0">
                  <c:v>91.150677650810522</c:v>
                </c:pt>
                <c:pt idx="1">
                  <c:v>104.77226924627165</c:v>
                </c:pt>
              </c:numCache>
            </c:numRef>
          </c:val>
          <c:extLst>
            <c:ext xmlns:c16="http://schemas.microsoft.com/office/drawing/2014/chart" uri="{C3380CC4-5D6E-409C-BE32-E72D297353CC}">
              <c16:uniqueId val="{00000004-10F4-4038-B7B7-6521FF8FFB35}"/>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A 30 de Septiembre</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C09-4106-97E3-C204F7AA97C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C09-4106-97E3-C204F7AA97C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C09-4106-97E3-C204F7AA97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POAI'!$V$65:$X$65</c:f>
              <c:strCache>
                <c:ptCount val="3"/>
                <c:pt idx="0">
                  <c:v>ACTIVIDADES PROGRAMADAS AÑO</c:v>
                </c:pt>
                <c:pt idx="1">
                  <c:v>ACTIVIDADES PROGRAMADAS  TERCER TRIMESTRE</c:v>
                </c:pt>
                <c:pt idx="2">
                  <c:v>ACTIVIDADES EJECUTADAS TERCER TRIMESTRE</c:v>
                </c:pt>
              </c:strCache>
            </c:strRef>
          </c:cat>
          <c:val>
            <c:numRef>
              <c:f>'[3]TRIMETRES POAI'!$V$66:$X$66</c:f>
              <c:numCache>
                <c:formatCode>General</c:formatCode>
                <c:ptCount val="3"/>
                <c:pt idx="0">
                  <c:v>12431</c:v>
                </c:pt>
                <c:pt idx="1">
                  <c:v>3763</c:v>
                </c:pt>
                <c:pt idx="2">
                  <c:v>3430</c:v>
                </c:pt>
              </c:numCache>
            </c:numRef>
          </c:val>
          <c:extLst>
            <c:ext xmlns:c16="http://schemas.microsoft.com/office/drawing/2014/chart" uri="{C3380CC4-5D6E-409C-BE32-E72D297353CC}">
              <c16:uniqueId val="{00000006-8C09-4106-97E3-C204F7AA97C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Avance del POAI A 30 de Septiembre</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C16-4D4B-8AE9-FAECB2D9BBB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C16-4D4B-8AE9-FAECB2D9BBB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C16-4D4B-8AE9-FAECB2D9BB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POAI'!$V$65,'[3]TRIMETRES POAI'!$Z$65:$AA$65)</c:f>
              <c:strCache>
                <c:ptCount val="3"/>
                <c:pt idx="0">
                  <c:v>ACTIVIDADES PROGRAMADAS AÑO</c:v>
                </c:pt>
                <c:pt idx="1">
                  <c:v>TOTAL ACTIVIDADES PROGRAMADAS AL TRIMESTRES</c:v>
                </c:pt>
                <c:pt idx="2">
                  <c:v>TOTAL EJECUTADAS  AL TERCER TRIMESTRE</c:v>
                </c:pt>
              </c:strCache>
            </c:strRef>
          </c:cat>
          <c:val>
            <c:numRef>
              <c:f>('[3]TRIMETRES POAI'!$V$66,'[3]TRIMETRES POAI'!$Z$66:$AA$66)</c:f>
              <c:numCache>
                <c:formatCode>General</c:formatCode>
                <c:ptCount val="3"/>
                <c:pt idx="0">
                  <c:v>12431</c:v>
                </c:pt>
                <c:pt idx="1">
                  <c:v>9468</c:v>
                </c:pt>
                <c:pt idx="2">
                  <c:v>10973</c:v>
                </c:pt>
              </c:numCache>
            </c:numRef>
          </c:val>
          <c:extLst>
            <c:ext xmlns:c16="http://schemas.microsoft.com/office/drawing/2014/chart" uri="{C3380CC4-5D6E-409C-BE32-E72D297353CC}">
              <c16:uniqueId val="{00000006-6C16-4D4B-8AE9-FAECB2D9BBB5}"/>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Septiembre 30</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DE4-4252-881D-BF7B7249B76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DE4-4252-881D-BF7B7249B76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POAI'!$Y$65,'[3]TRIMETRES POAI'!$AG$65)</c:f>
              <c:strCache>
                <c:ptCount val="2"/>
                <c:pt idx="0">
                  <c:v>% CUMPLIMIENTO TERCER TRIMESTRE</c:v>
                </c:pt>
                <c:pt idx="1">
                  <c:v>TOTAL CUMPLIMIENTO DE ACTIVIDADES -AÑO</c:v>
                </c:pt>
              </c:strCache>
            </c:strRef>
          </c:cat>
          <c:val>
            <c:numRef>
              <c:f>('[3]TRIMETRES POAI'!$Y$66,'[3]TRIMETRES POAI'!$AG$66)</c:f>
              <c:numCache>
                <c:formatCode>General</c:formatCode>
                <c:ptCount val="2"/>
                <c:pt idx="0">
                  <c:v>91.150677650810522</c:v>
                </c:pt>
                <c:pt idx="1">
                  <c:v>104.77226924627165</c:v>
                </c:pt>
              </c:numCache>
            </c:numRef>
          </c:val>
          <c:extLst>
            <c:ext xmlns:c16="http://schemas.microsoft.com/office/drawing/2014/chart" uri="{C3380CC4-5D6E-409C-BE32-E72D297353CC}">
              <c16:uniqueId val="{00000004-3DE4-4252-881D-BF7B7249B767}"/>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POAI A 30 de Septiembre</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D12-414C-A629-214763D7138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D12-414C-A629-214763D7138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D12-414C-A629-214763D713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POAI'!$V$65:$X$65</c:f>
              <c:strCache>
                <c:ptCount val="3"/>
                <c:pt idx="0">
                  <c:v>ACTIVIDADES PROGRAMADAS AÑO</c:v>
                </c:pt>
                <c:pt idx="1">
                  <c:v>ACTIVIDADES PROGRAMADAS  TERCER TRIMESTRE</c:v>
                </c:pt>
                <c:pt idx="2">
                  <c:v>ACTIVIDADES EJECUTADAS TERCER TRIMESTRE</c:v>
                </c:pt>
              </c:strCache>
            </c:strRef>
          </c:cat>
          <c:val>
            <c:numRef>
              <c:f>'[3]TRIMETRES POAI'!$V$66:$X$66</c:f>
              <c:numCache>
                <c:formatCode>General</c:formatCode>
                <c:ptCount val="3"/>
                <c:pt idx="0">
                  <c:v>12431</c:v>
                </c:pt>
                <c:pt idx="1">
                  <c:v>3763</c:v>
                </c:pt>
                <c:pt idx="2">
                  <c:v>3430</c:v>
                </c:pt>
              </c:numCache>
            </c:numRef>
          </c:val>
          <c:extLst>
            <c:ext xmlns:c16="http://schemas.microsoft.com/office/drawing/2014/chart" uri="{C3380CC4-5D6E-409C-BE32-E72D297353CC}">
              <c16:uniqueId val="{00000006-9D12-414C-A629-214763D7138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Avance del POAI A 30 de Septiembre</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F1B-4B8C-BF54-47D0672A69D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F1B-4B8C-BF54-47D0672A69D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F1B-4B8C-BF54-47D0672A69D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('[3]TRIMETRES POAI'!$V$65,'[3]TRIMETRES POAI'!$Z$65:$AA$65)</c:f>
              <c:strCache>
                <c:ptCount val="3"/>
                <c:pt idx="0">
                  <c:v>ACTIVIDADES PROGRAMADAS AÑO</c:v>
                </c:pt>
                <c:pt idx="1">
                  <c:v>TOTAL ACTIVIDADES PROGRAMADAS AL TRIMESTRES</c:v>
                </c:pt>
                <c:pt idx="2">
                  <c:v>TOTAL EJECUTADAS  AL TERCER TRIMESTRE</c:v>
                </c:pt>
              </c:strCache>
            </c:strRef>
          </c:cat>
          <c:val>
            <c:numRef>
              <c:f>('[3]TRIMETRES POAI'!$V$66,'[3]TRIMETRES POAI'!$Z$66:$AA$66)</c:f>
              <c:numCache>
                <c:formatCode>General</c:formatCode>
                <c:ptCount val="3"/>
                <c:pt idx="0">
                  <c:v>12431</c:v>
                </c:pt>
                <c:pt idx="1">
                  <c:v>9468</c:v>
                </c:pt>
                <c:pt idx="2">
                  <c:v>10973</c:v>
                </c:pt>
              </c:numCache>
            </c:numRef>
          </c:val>
          <c:extLst>
            <c:ext xmlns:c16="http://schemas.microsoft.com/office/drawing/2014/chart" uri="{C3380CC4-5D6E-409C-BE32-E72D297353CC}">
              <c16:uniqueId val="{00000006-7F1B-4B8C-BF54-47D0672A69D2}"/>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'[4]RESUMEN POAI 2021'!$D$3</c:f>
              <c:strCache>
                <c:ptCount val="1"/>
                <c:pt idx="0">
                  <c:v>TOTAL LINEA</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BFA-4099-A050-6289034DBBB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BFA-4099-A050-6289034DBBB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BFA-4099-A050-6289034DBBB4}"/>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EBFA-4099-A050-6289034DBBB4}"/>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EBFA-4099-A050-6289034DBBB4}"/>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EBFA-4099-A050-6289034DBBB4}"/>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EBFA-4099-A050-6289034DBBB4}"/>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EBFA-4099-A050-6289034DBBB4}"/>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EBFA-4099-A050-6289034DBBB4}"/>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EBFA-4099-A050-6289034DBBB4}"/>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EBFA-4099-A050-6289034DBBB4}"/>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EBFA-4099-A050-6289034DBBB4}"/>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EBFA-4099-A050-6289034DBBB4}"/>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EBFA-4099-A050-6289034DBBB4}"/>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EBFA-4099-A050-6289034DBBB4}"/>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EBFA-4099-A050-6289034DBBB4}"/>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EBFA-4099-A050-6289034DBBB4}"/>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EBFA-4099-A050-6289034DBBB4}"/>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EBFA-4099-A050-6289034DBBB4}"/>
              </c:ext>
            </c:extLst>
          </c:dPt>
          <c:dLbls>
            <c:dLbl>
              <c:idx val="0"/>
              <c:layout>
                <c:manualLayout>
                  <c:x val="0.2249900251610224"/>
                  <c:y val="-2.794502570740301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FA-4099-A050-6289034DBBB4}"/>
                </c:ext>
              </c:extLst>
            </c:dLbl>
            <c:dLbl>
              <c:idx val="7"/>
              <c:layout>
                <c:manualLayout>
                  <c:x val="-0.27328529125172696"/>
                  <c:y val="5.881296516017689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BFA-4099-A050-6289034DBBB4}"/>
                </c:ext>
              </c:extLst>
            </c:dLbl>
            <c:dLbl>
              <c:idx val="11"/>
              <c:layout>
                <c:manualLayout>
                  <c:x val="-0.22676166513311999"/>
                  <c:y val="-3.707744579872721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BFA-4099-A050-6289034DBBB4}"/>
                </c:ext>
              </c:extLst>
            </c:dLbl>
            <c:dLbl>
              <c:idx val="16"/>
              <c:layout>
                <c:manualLayout>
                  <c:x val="0.1846389108290109"/>
                  <c:y val="-6.961169237406968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BFA-4099-A050-6289034DBB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'[4]RESUMEN POAI 2021'!$A$4:$A$22</c:f>
              <c:strCache>
                <c:ptCount val="19"/>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'[4]RESUMEN POAI 2021'!$D$4:$D$22</c:f>
              <c:numCache>
                <c:formatCode>General</c:formatCode>
                <c:ptCount val="19"/>
                <c:pt idx="0">
                  <c:v>1244579448</c:v>
                </c:pt>
                <c:pt idx="3">
                  <c:v>58364277252</c:v>
                </c:pt>
                <c:pt idx="5">
                  <c:v>124917601424</c:v>
                </c:pt>
                <c:pt idx="7">
                  <c:v>1116129978</c:v>
                </c:pt>
                <c:pt idx="11">
                  <c:v>408050433</c:v>
                </c:pt>
                <c:pt idx="13">
                  <c:v>20000000</c:v>
                </c:pt>
                <c:pt idx="15">
                  <c:v>416661893</c:v>
                </c:pt>
                <c:pt idx="16">
                  <c:v>2130669603</c:v>
                </c:pt>
              </c:numCache>
            </c:numRef>
          </c:val>
          <c:extLst>
            <c:ext xmlns:c16="http://schemas.microsoft.com/office/drawing/2014/chart" uri="{C3380CC4-5D6E-409C-BE32-E72D297353CC}">
              <c16:uniqueId val="{00000026-EBFA-4099-A050-6289034DBBB4}"/>
            </c:ext>
          </c:extLst>
        </c:ser>
        <c:dLbls>
          <c:showLegendKey val="0"/>
          <c:showVal val="0"/>
          <c:showCatName val="0"/>
          <c:showSerName val="0"/>
          <c:showPercent val="0"/>
          <c:showBubbleSize val="0"/>
          <c:showLeaderLines val="1"/>
        </c:dLbls>
      </c:pie3DChart>
      <c:spPr>
        <a:noFill/>
        <a:ln>
          <a:noFill/>
        </a:ln>
        <a:effectLst/>
      </c:spPr>
    </c:plotArea>
    <c:legend>
      <c:legendPos val="b"/>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ayout>
        <c:manualLayout>
          <c:xMode val="edge"/>
          <c:yMode val="edge"/>
          <c:x val="8.0731266247221503E-2"/>
          <c:y val="0.75098820695358282"/>
          <c:w val="0.87681497946727949"/>
          <c:h val="0.22841980368892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'[4]RESUMEN POAI 2021'!$F$3</c:f>
              <c:strCache>
                <c:ptCount val="1"/>
                <c:pt idx="0">
                  <c:v>% LINEA SOBRE TOTAL PRESUPUESTO </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23E-4A47-95F5-CAB0D807EA3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23E-4A47-95F5-CAB0D807EA3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023E-4A47-95F5-CAB0D807EA39}"/>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023E-4A47-95F5-CAB0D807EA39}"/>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023E-4A47-95F5-CAB0D807EA39}"/>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023E-4A47-95F5-CAB0D807EA39}"/>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023E-4A47-95F5-CAB0D807EA39}"/>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023E-4A47-95F5-CAB0D807EA39}"/>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023E-4A47-95F5-CAB0D807EA39}"/>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023E-4A47-95F5-CAB0D807EA39}"/>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023E-4A47-95F5-CAB0D807EA39}"/>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023E-4A47-95F5-CAB0D807EA39}"/>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023E-4A47-95F5-CAB0D807EA39}"/>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023E-4A47-95F5-CAB0D807EA39}"/>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023E-4A47-95F5-CAB0D807EA39}"/>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023E-4A47-95F5-CAB0D807EA39}"/>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023E-4A47-95F5-CAB0D807EA39}"/>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023E-4A47-95F5-CAB0D807EA39}"/>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023E-4A47-95F5-CAB0D807EA3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'[4]RESUMEN POAI 2021'!$A$4:$A$22</c:f>
              <c:strCache>
                <c:ptCount val="19"/>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'[4]RESUMEN POAI 2021'!$F$4:$F$22</c:f>
              <c:numCache>
                <c:formatCode>General</c:formatCode>
                <c:ptCount val="19"/>
                <c:pt idx="0">
                  <c:v>0.65984139676375964</c:v>
                </c:pt>
                <c:pt idx="3">
                  <c:v>30.943115993883101</c:v>
                </c:pt>
                <c:pt idx="5">
                  <c:v>66.227836829899815</c:v>
                </c:pt>
                <c:pt idx="7">
                  <c:v>0.59174106147816152</c:v>
                </c:pt>
                <c:pt idx="11">
                  <c:v>0.21633698683796435</c:v>
                </c:pt>
                <c:pt idx="13">
                  <c:v>1.0603443561985601E-2</c:v>
                </c:pt>
                <c:pt idx="15">
                  <c:v>0.22090254334277917</c:v>
                </c:pt>
                <c:pt idx="16">
                  <c:v>1.1296217442324383</c:v>
                </c:pt>
              </c:numCache>
            </c:numRef>
          </c:val>
          <c:extLst>
            <c:ext xmlns:c16="http://schemas.microsoft.com/office/drawing/2014/chart" uri="{C3380CC4-5D6E-409C-BE32-E72D297353CC}">
              <c16:uniqueId val="{00000026-023E-4A47-95F5-CAB0D807EA39}"/>
            </c:ext>
          </c:extLst>
        </c:ser>
        <c:dLbls>
          <c:showLegendKey val="0"/>
          <c:showVal val="0"/>
          <c:showCatName val="0"/>
          <c:showSerName val="0"/>
          <c:showPercent val="0"/>
          <c:showBubbleSize val="0"/>
          <c:showLeaderLines val="1"/>
        </c:dLbls>
      </c:pie3DChart>
      <c:spPr>
        <a:noFill/>
        <a:ln>
          <a:noFill/>
        </a:ln>
        <a:effectLst/>
      </c:spPr>
    </c:plotArea>
    <c:legend>
      <c:legendPos val="b"/>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layout>
        <c:manualLayout>
          <c:xMode val="edge"/>
          <c:yMode val="edge"/>
          <c:x val="9.1995844269466318E-2"/>
          <c:y val="0.76961966361613232"/>
          <c:w val="0.90800415573053372"/>
          <c:h val="0.2303803363838677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pieChart>
        <c:varyColors val="1"/>
        <c:ser>
          <c:idx val="0"/>
          <c:order val="0"/>
          <c:tx>
            <c:strRef>
              <c:f>'consolidad finaciero2022'!$F$3</c:f>
              <c:strCache>
                <c:ptCount val="1"/>
                <c:pt idx="0">
                  <c:v>% LINEA SOBRE TOTAL PRESUPUESTO </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C86-4B4B-97AE-CEAA5CD1A603}"/>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C86-4B4B-97AE-CEAA5CD1A603}"/>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C86-4B4B-97AE-CEAA5CD1A603}"/>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0C86-4B4B-97AE-CEAA5CD1A603}"/>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0C86-4B4B-97AE-CEAA5CD1A603}"/>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0C86-4B4B-97AE-CEAA5CD1A603}"/>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0C86-4B4B-97AE-CEAA5CD1A603}"/>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0C86-4B4B-97AE-CEAA5CD1A603}"/>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0C86-4B4B-97AE-CEAA5CD1A603}"/>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0C86-4B4B-97AE-CEAA5CD1A603}"/>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0C86-4B4B-97AE-CEAA5CD1A603}"/>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0C86-4B4B-97AE-CEAA5CD1A603}"/>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9-0C86-4B4B-97AE-CEAA5CD1A603}"/>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0C86-4B4B-97AE-CEAA5CD1A603}"/>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D-0C86-4B4B-97AE-CEAA5CD1A603}"/>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F-0C86-4B4B-97AE-CEAA5CD1A603}"/>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1-0C86-4B4B-97AE-CEAA5CD1A603}"/>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3-0C86-4B4B-97AE-CEAA5CD1A603}"/>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5-0C86-4B4B-97AE-CEAA5CD1A603}"/>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'consolidad finaciero2022'!$A$4:$A$22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'consolidad finaciero2022'!$F$4:$F$22</c:f>
              <c:numCache>
                <c:formatCode>0.00</c:formatCode>
                <c:ptCount val="19"/>
                <c:pt idx="0">
                  <c:v>0.56829669716346631</c:v>
                </c:pt>
                <c:pt idx="3" formatCode="0.0">
                  <c:v>38.648366796818515</c:v>
                </c:pt>
                <c:pt idx="5" formatCode="0.0">
                  <c:v>55.956997790120703</c:v>
                </c:pt>
                <c:pt idx="7" formatCode="0.0">
                  <c:v>2.6586347569550774</c:v>
                </c:pt>
                <c:pt idx="11" formatCode="0.0">
                  <c:v>0.2760621443189461</c:v>
                </c:pt>
                <c:pt idx="13" formatCode="0.0">
                  <c:v>0.16344673076516164</c:v>
                </c:pt>
                <c:pt idx="15" formatCode="0.0">
                  <c:v>0.25445683085110676</c:v>
                </c:pt>
                <c:pt idx="16" formatCode="0.0">
                  <c:v>1.4737382530070262</c:v>
                </c:pt>
              </c:numCache>
            </c:numRef>
          </c:val>
          <c:extLst>
            <c:ext xmlns:c16="http://schemas.microsoft.com/office/drawing/2014/chart" uri="{C3380CC4-5D6E-409C-BE32-E72D297353CC}">
              <c16:uniqueId val="{00000000-0CF9-470B-9D00-CB71B611E0C1}"/>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layout>
        <c:manualLayout>
          <c:xMode val="edge"/>
          <c:yMode val="edge"/>
          <c:x val="0.69030767876419785"/>
          <c:y val="0.68252338186503958"/>
          <c:w val="0.30662366031002825"/>
          <c:h val="0.3119605322196842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CUMPLIMIENTO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('[3]4 TRIMESTRE'!$Y$65,'[3]4 TRIMESTRE'!$AB$65,'[3]4 TRIMESTRE'!$AE$65,'[3]4 TRIMESTRE'!$AJ$65,'[3]4 TRIMESTRE'!$AM$65)</c:f>
              <c:strCache>
                <c:ptCount val="5"/>
                <c:pt idx="0">
                  <c:v>% CUMPLIMIENTO PRIMER TRIMESTRE</c:v>
                </c:pt>
                <c:pt idx="1">
                  <c:v>% CUMPLIMIENTO SEGUNDO  TRIMESTRE</c:v>
                </c:pt>
                <c:pt idx="2">
                  <c:v>% CUMPLIMIENTO TERCER TRIMESTRE</c:v>
                </c:pt>
                <c:pt idx="3">
                  <c:v>% CUMPLIMIENTO CUARTO TRIMESTRE</c:v>
                </c:pt>
                <c:pt idx="4">
                  <c:v>TOTAL CUMPLIMIENTO DE ACTIVIDADES -AÑO</c:v>
                </c:pt>
              </c:strCache>
            </c:strRef>
          </c:cat>
          <c:val>
            <c:numRef>
              <c:f>('[3]4 TRIMESTRE'!$Y$66,'[3]4 TRIMESTRE'!$AB$66,'[3]4 TRIMESTRE'!$AE$66,'[3]4 TRIMESTRE'!$AJ$66,'[3]4 TRIMESTRE'!$AM$66)</c:f>
              <c:numCache>
                <c:formatCode>General</c:formatCode>
                <c:ptCount val="5"/>
                <c:pt idx="0">
                  <c:v>126.67928098391674</c:v>
                </c:pt>
                <c:pt idx="1">
                  <c:v>105.66411781365052</c:v>
                </c:pt>
                <c:pt idx="2">
                  <c:v>91.409574468085111</c:v>
                </c:pt>
                <c:pt idx="3">
                  <c:v>67.821950390757735</c:v>
                </c:pt>
                <c:pt idx="4">
                  <c:v>95.902170391966308</c:v>
                </c:pt>
              </c:numCache>
            </c:numRef>
          </c:val>
          <c:extLst>
            <c:ext xmlns:c16="http://schemas.microsoft.com/office/drawing/2014/chart" uri="{C3380CC4-5D6E-409C-BE32-E72D297353CC}">
              <c16:uniqueId val="{00000000-954B-49CF-96F9-F8ACD7116437}"/>
            </c:ext>
          </c:extLst>
        </c:ser>
        <c:dLbls>
          <c:dLblPos val="outEnd"/>
          <c:showLegendKey val="0"/>
          <c:showVal val="1"/>
          <c:showCatName val="0"/>
          <c:showSerName val="0"/>
          <c:showPercent val="0"/>
          <c:showBubbleSize val="0"/>
        </c:dLbls>
        <c:gapWidth val="100"/>
        <c:overlap val="-24"/>
        <c:axId val="579048664"/>
        <c:axId val="579049648"/>
      </c:barChart>
      <c:catAx>
        <c:axId val="57904866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579049648"/>
        <c:crosses val="autoZero"/>
        <c:auto val="1"/>
        <c:lblAlgn val="ctr"/>
        <c:lblOffset val="100"/>
        <c:noMultiLvlLbl val="0"/>
      </c:catAx>
      <c:valAx>
        <c:axId val="579049648"/>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PORCENTAJE</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579048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CUMPLIMIENTO 2021</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ofPieChart>
        <c:ofPieType val="bar"/>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EB03-4C2C-B2F1-468BFCD8409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EB03-4C2C-B2F1-468BFCD84090}"/>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EB03-4C2C-B2F1-468BFCD84090}"/>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EB03-4C2C-B2F1-468BFCD84090}"/>
              </c:ext>
            </c:extLst>
          </c:dPt>
          <c:dLbls>
            <c:dLbl>
              <c:idx val="0"/>
              <c:tx>
                <c:rich>
                  <a:bodyPr/>
                  <a:lstStyle/>
                  <a:p>
                    <a:fld id="{93D5E26F-4912-4568-A49E-D73875E28C81}" type="VALUE">
                      <a:rPr lang="en-US"/>
                      <a:pPr/>
                      <a:t>[VALOR]</a:t>
                    </a:fld>
                    <a:r>
                      <a:rPr lang="en-US" baseline="0"/>
                      <a:t>;</a:t>
                    </a:r>
                  </a:p>
                </c:rich>
              </c:tx>
              <c:dLblPos val="ctr"/>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B03-4C2C-B2F1-468BFCD84090}"/>
                </c:ext>
              </c:extLst>
            </c:dLbl>
            <c:dLbl>
              <c:idx val="1"/>
              <c:tx>
                <c:rich>
                  <a:bodyPr/>
                  <a:lstStyle/>
                  <a:p>
                    <a:fld id="{899372B9-43C9-4962-BAD5-8D635CAA5A50}" type="VALUE">
                      <a:rPr lang="en-US"/>
                      <a:pPr/>
                      <a:t>[VALOR]</a:t>
                    </a:fld>
                    <a:r>
                      <a:rPr lang="en-US" baseline="0"/>
                      <a:t>; </a:t>
                    </a:r>
                  </a:p>
                </c:rich>
              </c:tx>
              <c:dLblPos val="ctr"/>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B03-4C2C-B2F1-468BFCD84090}"/>
                </c:ext>
              </c:extLst>
            </c:dLbl>
            <c:dLbl>
              <c:idx val="3"/>
              <c:delete val="1"/>
              <c:extLst>
                <c:ext xmlns:c15="http://schemas.microsoft.com/office/drawing/2012/chart" uri="{CE6537A1-D6FC-4f65-9D91-7224C49458BB}"/>
                <c:ext xmlns:c16="http://schemas.microsoft.com/office/drawing/2014/chart" uri="{C3380CC4-5D6E-409C-BE32-E72D297353CC}">
                  <c16:uniqueId val="{00000007-EB03-4C2C-B2F1-468BFCD840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'[3]4 TRIMESTRE'!$AK$65:$AM$65</c:f>
              <c:strCache>
                <c:ptCount val="3"/>
                <c:pt idx="0">
                  <c:v>TOTAL ACTIVIDADES PROGRADAS AÑO</c:v>
                </c:pt>
                <c:pt idx="1">
                  <c:v>TOTAL ACTIVIDADES EJECUTADAS  AÑO</c:v>
                </c:pt>
                <c:pt idx="2">
                  <c:v>TOTAL CUMPLIMIENTO DE ACTIVIDADES -AÑO</c:v>
                </c:pt>
              </c:strCache>
            </c:strRef>
          </c:cat>
          <c:val>
            <c:numRef>
              <c:f>'[3]4 TRIMESTRE'!$AK$66:$AM$66</c:f>
              <c:numCache>
                <c:formatCode>General</c:formatCode>
                <c:ptCount val="3"/>
                <c:pt idx="0">
                  <c:v>12348</c:v>
                </c:pt>
                <c:pt idx="1">
                  <c:v>11842</c:v>
                </c:pt>
                <c:pt idx="2">
                  <c:v>95.902170391966308</c:v>
                </c:pt>
              </c:numCache>
            </c:numRef>
          </c:val>
          <c:extLst>
            <c:ext xmlns:c16="http://schemas.microsoft.com/office/drawing/2014/chart" uri="{C3380CC4-5D6E-409C-BE32-E72D297353CC}">
              <c16:uniqueId val="{00000008-EB03-4C2C-B2F1-468BFCD84090}"/>
            </c:ext>
          </c:extLst>
        </c:ser>
        <c:dLbls>
          <c:dLblPos val="ctr"/>
          <c:showLegendKey val="0"/>
          <c:showVal val="0"/>
          <c:showCatName val="0"/>
          <c:showSerName val="0"/>
          <c:showPercent val="1"/>
          <c:showBubbleSize val="0"/>
          <c:showLeaderLines val="1"/>
        </c:dLbls>
        <c:gapWidth val="100"/>
        <c:secondPieSize val="75"/>
        <c:serLines>
          <c:spPr>
            <a:ln w="9525" cap="flat" cmpd="sng" algn="ctr">
              <a:solidFill>
                <a:schemeClr val="lt1">
                  <a:lumMod val="95000"/>
                  <a:alpha val="54000"/>
                </a:schemeClr>
              </a:solidFill>
              <a:round/>
            </a:ln>
            <a:effectLst/>
          </c:spPr>
        </c:serLines>
      </c:ofPieChart>
      <c:spPr>
        <a:noFill/>
        <a:ln>
          <a:noFill/>
        </a:ln>
        <a:effectLst>
          <a:outerShdw blurRad="50800" dist="50800" dir="5400000" sx="82000" sy="82000" algn="ctr" rotWithShape="0">
            <a:srgbClr val="000000"/>
          </a:outerShdw>
          <a:softEdge rad="0"/>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Promedio</a:t>
            </a:r>
            <a:r>
              <a:rPr lang="es-CO" baseline="0"/>
              <a:t> de cumplimiento  primer trimestre 2022</a:t>
            </a:r>
            <a:endParaRPr lang="es-CO"/>
          </a:p>
        </c:rich>
      </c:tx>
      <c:overlay val="0"/>
      <c:spPr>
        <a:noFill/>
        <a:ln>
          <a:noFill/>
        </a:ln>
        <a:effectLst/>
      </c:spPr>
    </c:title>
    <c:autoTitleDeleted val="0"/>
    <c:plotArea>
      <c:layout>
        <c:manualLayout>
          <c:layoutTarget val="inner"/>
          <c:xMode val="edge"/>
          <c:yMode val="edge"/>
          <c:x val="0.23282489632547301"/>
          <c:y val="9.5969836758677471E-2"/>
          <c:w val="0.50196676832399989"/>
          <c:h val="0.88382947509866361"/>
        </c:manualLayout>
      </c:layout>
      <c:doughnutChart>
        <c:varyColors val="1"/>
        <c:ser>
          <c:idx val="2"/>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 GRAFICOS 1 TRIMESTRE'!$B$1:$D$1,' GRAFICOS 1 TRIMESTRE'!$F$1)</c:f>
              <c:strCache>
                <c:ptCount val="4"/>
                <c:pt idx="0">
                  <c:v>TOTAL ACTIVIDADES PROGRAMADAS AÑO</c:v>
                </c:pt>
                <c:pt idx="1">
                  <c:v>PROGRAMADAS 1 TRIMETRE</c:v>
                </c:pt>
                <c:pt idx="2">
                  <c:v>REALIZADAS 1 TRIMETRE</c:v>
                </c:pt>
                <c:pt idx="3">
                  <c:v>% CON RELACIÓN A LAS PROGRAMADAS 1 TRIMESTRE </c:v>
                </c:pt>
              </c:strCache>
            </c:strRef>
          </c:cat>
          <c:val>
            <c:numRef>
              <c:f>(' GRAFICOS 1 TRIMESTRE'!$B$2:$D$2,' GRAFICOS 1 TRIMESTRE'!$F$2)</c:f>
              <c:numCache>
                <c:formatCode>General</c:formatCode>
                <c:ptCount val="4"/>
              </c:numCache>
            </c:numRef>
          </c:val>
          <c:extLst>
            <c:ext xmlns:c16="http://schemas.microsoft.com/office/drawing/2014/chart" uri="{C3380CC4-5D6E-409C-BE32-E72D297353CC}">
              <c16:uniqueId val="{00000017-E813-4405-A186-5C6235F88E92}"/>
            </c:ext>
          </c:extLst>
        </c:ser>
        <c:ser>
          <c:idx val="3"/>
          <c:order val="1"/>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 GRAFICOS 1 TRIMESTRE'!$B$1:$D$1,' GRAFICOS 1 TRIMESTRE'!$F$1)</c:f>
              <c:strCache>
                <c:ptCount val="4"/>
                <c:pt idx="0">
                  <c:v>TOTAL ACTIVIDADES PROGRAMADAS AÑO</c:v>
                </c:pt>
                <c:pt idx="1">
                  <c:v>PROGRAMADAS 1 TRIMETRE</c:v>
                </c:pt>
                <c:pt idx="2">
                  <c:v>REALIZADAS 1 TRIMETRE</c:v>
                </c:pt>
                <c:pt idx="3">
                  <c:v>% CON RELACIÓN A LAS PROGRAMADAS 1 TRIMESTRE </c:v>
                </c:pt>
              </c:strCache>
            </c:strRef>
          </c:cat>
          <c:val>
            <c:numRef>
              <c:f>(' GRAFICOS 1 TRIMESTRE'!$B$3:$D$3,' GRAFICOS 1 TRIMESTRE'!$F$3)</c:f>
              <c:numCache>
                <c:formatCode>General</c:formatCode>
                <c:ptCount val="4"/>
                <c:pt idx="0">
                  <c:v>9255</c:v>
                </c:pt>
                <c:pt idx="1">
                  <c:v>3770</c:v>
                </c:pt>
                <c:pt idx="2">
                  <c:v>3991</c:v>
                </c:pt>
                <c:pt idx="3" formatCode="0%">
                  <c:v>0.8848255803289341</c:v>
                </c:pt>
              </c:numCache>
            </c:numRef>
          </c:val>
          <c:extLst>
            <c:ext xmlns:c16="http://schemas.microsoft.com/office/drawing/2014/chart" uri="{C3380CC4-5D6E-409C-BE32-E72D297353CC}">
              <c16:uniqueId val="{00000018-E813-4405-A186-5C6235F88E92}"/>
            </c:ext>
          </c:extLst>
        </c:ser>
        <c:ser>
          <c:idx val="0"/>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5-E813-4405-A186-5C6235F88E9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7-E813-4405-A186-5C6235F88E9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9-E813-4405-A186-5C6235F88E9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B-E813-4405-A186-5C6235F88E9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GRAFICOS 1 TRIMESTRE'!$B$1:$E$1</c:f>
              <c:strCache>
                <c:ptCount val="4"/>
                <c:pt idx="0">
                  <c:v>TOTAL ACTIVIDADES PROGRAMADAS AÑO</c:v>
                </c:pt>
                <c:pt idx="1">
                  <c:v>PROGRAMADAS 1 TRIMETRE</c:v>
                </c:pt>
                <c:pt idx="2">
                  <c:v>REALIZADAS 1 TRIMETRE</c:v>
                </c:pt>
                <c:pt idx="3">
                  <c:v>% CUMPLIMIENTO  CON RELACIÓN A LAS PROGRAMADAS AÑO </c:v>
                </c:pt>
              </c:strCache>
            </c:strRef>
          </c:cat>
          <c:val>
            <c:numRef>
              <c:f>' GRAFICOS 1 TRIMESTRE'!$B$2:$E$2</c:f>
              <c:numCache>
                <c:formatCode>General</c:formatCode>
                <c:ptCount val="4"/>
              </c:numCache>
            </c:numRef>
          </c:val>
          <c:extLst>
            <c:ext xmlns:c16="http://schemas.microsoft.com/office/drawing/2014/chart" uri="{C3380CC4-5D6E-409C-BE32-E72D297353CC}">
              <c16:uniqueId val="{0000000C-E813-4405-A186-5C6235F88E92}"/>
            </c:ext>
          </c:extLst>
        </c:ser>
        <c:ser>
          <c:idx val="1"/>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0F-E813-4405-A186-5C6235F88E9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1-E813-4405-A186-5C6235F88E9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3-E813-4405-A186-5C6235F88E9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5-E813-4405-A186-5C6235F88E9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GRAFICOS 1 TRIMESTRE'!$B$1:$E$1</c:f>
              <c:strCache>
                <c:ptCount val="4"/>
                <c:pt idx="0">
                  <c:v>TOTAL ACTIVIDADES PROGRAMADAS AÑO</c:v>
                </c:pt>
                <c:pt idx="1">
                  <c:v>PROGRAMADAS 1 TRIMETRE</c:v>
                </c:pt>
                <c:pt idx="2">
                  <c:v>REALIZADAS 1 TRIMETRE</c:v>
                </c:pt>
                <c:pt idx="3">
                  <c:v>% CUMPLIMIENTO  CON RELACIÓN A LAS PROGRAMADAS AÑO </c:v>
                </c:pt>
              </c:strCache>
            </c:strRef>
          </c:cat>
          <c:val>
            <c:numRef>
              <c:f>' GRAFICOS 1 TRIMESTRE'!$B$3:$E$3</c:f>
              <c:numCache>
                <c:formatCode>General</c:formatCode>
                <c:ptCount val="4"/>
                <c:pt idx="0">
                  <c:v>9255</c:v>
                </c:pt>
                <c:pt idx="1">
                  <c:v>3770</c:v>
                </c:pt>
                <c:pt idx="2">
                  <c:v>3991</c:v>
                </c:pt>
                <c:pt idx="3" formatCode="0%">
                  <c:v>0.22573989693800145</c:v>
                </c:pt>
              </c:numCache>
            </c:numRef>
          </c:val>
          <c:extLst>
            <c:ext xmlns:c16="http://schemas.microsoft.com/office/drawing/2014/chart" uri="{C3380CC4-5D6E-409C-BE32-E72D297353CC}">
              <c16:uniqueId val="{00000016-E813-4405-A186-5C6235F88E92}"/>
            </c:ext>
          </c:extLst>
        </c:ser>
        <c:dLbls>
          <c:showLegendKey val="0"/>
          <c:showVal val="1"/>
          <c:showCatName val="0"/>
          <c:showSerName val="0"/>
          <c:showPercent val="0"/>
          <c:showBubbleSize val="0"/>
          <c:showLeaderLines val="1"/>
        </c:dLbls>
        <c:firstSliceAng val="0"/>
        <c:holeSize val="75"/>
      </c:doughnutChart>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Porcentaje de cumplimiento primer</a:t>
            </a:r>
            <a:r>
              <a:rPr lang="es-CO" baseline="0"/>
              <a:t> trimestre 2022</a:t>
            </a:r>
            <a:r>
              <a:rPr lang="es-CO"/>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GRAFICOS 1 TRIMESTRE'!$B$1:$F$1</c:f>
              <c:strCache>
                <c:ptCount val="5"/>
                <c:pt idx="0">
                  <c:v>TOTAL ACTIVIDADES PROGRAMADAS AÑO</c:v>
                </c:pt>
                <c:pt idx="1">
                  <c:v>PROGRAMADAS 1 TRIMETRE</c:v>
                </c:pt>
                <c:pt idx="2">
                  <c:v>REALIZADAS 1 TRIMETRE</c:v>
                </c:pt>
                <c:pt idx="3">
                  <c:v>% CUMPLIMIENTO  CON RELACIÓN A LAS PROGRAMADAS AÑO </c:v>
                </c:pt>
                <c:pt idx="4">
                  <c:v>% CON RELACIÓN A LAS PROGRAMADAS 1 TRIMESTRE </c:v>
                </c:pt>
              </c:strCache>
            </c:strRef>
          </c:cat>
          <c:val>
            <c:numRef>
              <c:f>' GRAFICOS 1 TRIMESTRE'!$B$2:$F$2</c:f>
              <c:numCache>
                <c:formatCode>General</c:formatCode>
                <c:ptCount val="5"/>
              </c:numCache>
            </c:numRef>
          </c:val>
          <c:extLst>
            <c:ext xmlns:c16="http://schemas.microsoft.com/office/drawing/2014/chart" uri="{C3380CC4-5D6E-409C-BE32-E72D297353CC}">
              <c16:uniqueId val="{00000000-C88B-4CD7-AA52-8089FC2C6D3F}"/>
            </c:ext>
          </c:extLst>
        </c:ser>
        <c:ser>
          <c:idx val="1"/>
          <c:order val="1"/>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GRAFICOS 1 TRIMESTRE'!$B$1:$F$1</c:f>
              <c:strCache>
                <c:ptCount val="5"/>
                <c:pt idx="0">
                  <c:v>TOTAL ACTIVIDADES PROGRAMADAS AÑO</c:v>
                </c:pt>
                <c:pt idx="1">
                  <c:v>PROGRAMADAS 1 TRIMETRE</c:v>
                </c:pt>
                <c:pt idx="2">
                  <c:v>REALIZADAS 1 TRIMETRE</c:v>
                </c:pt>
                <c:pt idx="3">
                  <c:v>% CUMPLIMIENTO  CON RELACIÓN A LAS PROGRAMADAS AÑO </c:v>
                </c:pt>
                <c:pt idx="4">
                  <c:v>% CON RELACIÓN A LAS PROGRAMADAS 1 TRIMESTRE </c:v>
                </c:pt>
              </c:strCache>
            </c:strRef>
          </c:cat>
          <c:val>
            <c:numRef>
              <c:f>' GRAFICOS 1 TRIMESTRE'!$B$4:$F$4</c:f>
              <c:numCache>
                <c:formatCode>General</c:formatCode>
                <c:ptCount val="5"/>
                <c:pt idx="0">
                  <c:v>9255</c:v>
                </c:pt>
                <c:pt idx="1">
                  <c:v>3770</c:v>
                </c:pt>
                <c:pt idx="2">
                  <c:v>3991</c:v>
                </c:pt>
                <c:pt idx="3" formatCode="0%">
                  <c:v>0.43122636412749865</c:v>
                </c:pt>
                <c:pt idx="4" formatCode="0%">
                  <c:v>1.0586206896551724</c:v>
                </c:pt>
              </c:numCache>
            </c:numRef>
          </c:val>
          <c:extLst>
            <c:ext xmlns:c16="http://schemas.microsoft.com/office/drawing/2014/chart" uri="{C3380CC4-5D6E-409C-BE32-E72D297353CC}">
              <c16:uniqueId val="{00000001-C88B-4CD7-AA52-8089FC2C6D3F}"/>
            </c:ext>
          </c:extLst>
        </c:ser>
        <c:dLbls>
          <c:dLblPos val="outEnd"/>
          <c:showLegendKey val="0"/>
          <c:showVal val="1"/>
          <c:showCatName val="0"/>
          <c:showSerName val="0"/>
          <c:showPercent val="0"/>
          <c:showBubbleSize val="0"/>
        </c:dLbls>
        <c:gapWidth val="182"/>
        <c:axId val="533367864"/>
        <c:axId val="533368192"/>
      </c:barChart>
      <c:catAx>
        <c:axId val="533367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3368192"/>
        <c:crosses val="autoZero"/>
        <c:auto val="1"/>
        <c:lblAlgn val="ctr"/>
        <c:lblOffset val="100"/>
        <c:noMultiLvlLbl val="0"/>
      </c:catAx>
      <c:valAx>
        <c:axId val="5333681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3367864"/>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EJECUCIÓN  PRIMER TRIMESTRE DEL POAI 2022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03C-4435-9448-13B8C3EF51B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03C-4435-9448-13B8C3EF51B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 1 -2 TRIMESTRE'!$B$18:$C$18</c:f>
              <c:strCache>
                <c:ptCount val="2"/>
                <c:pt idx="0">
                  <c:v>ACTIVIDADES PROGRAMADAS  PRIEMER TRIMESTRE</c:v>
                </c:pt>
                <c:pt idx="1">
                  <c:v>ACTIVIDADES EJECUTADAS PRIMER   TRIMESTRE</c:v>
                </c:pt>
              </c:strCache>
            </c:strRef>
          </c:cat>
          <c:val>
            <c:numRef>
              <c:f>'GRAFICOS 1 -2 TRIMESTRE'!$B$19:$C$19</c:f>
              <c:numCache>
                <c:formatCode>#,##0</c:formatCode>
                <c:ptCount val="2"/>
                <c:pt idx="0">
                  <c:v>3770</c:v>
                </c:pt>
                <c:pt idx="1">
                  <c:v>3766</c:v>
                </c:pt>
              </c:numCache>
            </c:numRef>
          </c:val>
          <c:extLst>
            <c:ext xmlns:c16="http://schemas.microsoft.com/office/drawing/2014/chart" uri="{C3380CC4-5D6E-409C-BE32-E72D297353CC}">
              <c16:uniqueId val="{00000000-E617-48E7-8850-BCA0F407708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EJECUCIÓN SEGUNDO TRIMESTRE DEL POAI 2022 </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5277777777777782E-2"/>
          <c:y val="0.30902741324001165"/>
          <c:w val="0.81388888888888888"/>
          <c:h val="0.40370333916593759"/>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20D-4D67-963F-02557B3CA20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20D-4D67-963F-02557B3CA20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 1 -2 TRIMESTRE'!$E$18:$F$18</c:f>
              <c:strCache>
                <c:ptCount val="2"/>
                <c:pt idx="0">
                  <c:v>TOTAL ACTIVIDADES PROGRAMADAS SEGUNDO TRIMESTRE</c:v>
                </c:pt>
                <c:pt idx="1">
                  <c:v>TOTAL EJECUTADAS  AL SEGUNDO TRIMESTRE</c:v>
                </c:pt>
              </c:strCache>
            </c:strRef>
          </c:cat>
          <c:val>
            <c:numRef>
              <c:f>'GRAFICOS 1 -2 TRIMESTRE'!$E$19:$F$19</c:f>
              <c:numCache>
                <c:formatCode>#,##0</c:formatCode>
                <c:ptCount val="2"/>
                <c:pt idx="0" formatCode="0">
                  <c:v>3493</c:v>
                </c:pt>
                <c:pt idx="1">
                  <c:v>3436</c:v>
                </c:pt>
              </c:numCache>
            </c:numRef>
          </c:val>
          <c:extLst>
            <c:ext xmlns:c16="http://schemas.microsoft.com/office/drawing/2014/chart" uri="{C3380CC4-5D6E-409C-BE32-E72D297353CC}">
              <c16:uniqueId val="{00000000-7F2B-433D-A381-57D8FAFF87BC}"/>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PORCENTAJE</a:t>
            </a:r>
            <a:r>
              <a:rPr lang="en-US" baseline="0"/>
              <a:t> DE CUMPLIMIENTO 1 Y 2 TRIMESTRE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('GRAFICOS 1 -2 TRIMESTRE'!$D$18,'GRAFICOS 1 -2 TRIMESTRE'!$G$18)</c:f>
              <c:strCache>
                <c:ptCount val="2"/>
                <c:pt idx="0">
                  <c:v>% CUMPLIMIENTO PRIMER  TRIMESTRE</c:v>
                </c:pt>
                <c:pt idx="1">
                  <c:v>% CUMPLIMIENTO SEGUNDO TRIMESTRE</c:v>
                </c:pt>
              </c:strCache>
            </c:strRef>
          </c:cat>
          <c:val>
            <c:numRef>
              <c:f>('GRAFICOS 1 -2 TRIMESTRE'!$D$19,'GRAFICOS 1 -2 TRIMESTRE'!$G$19)</c:f>
              <c:numCache>
                <c:formatCode>#,##0</c:formatCode>
                <c:ptCount val="2"/>
                <c:pt idx="0" formatCode="0">
                  <c:v>99.893899204244036</c:v>
                </c:pt>
                <c:pt idx="1">
                  <c:v>98.36816490123104</c:v>
                </c:pt>
              </c:numCache>
            </c:numRef>
          </c:val>
          <c:extLst>
            <c:ext xmlns:c16="http://schemas.microsoft.com/office/drawing/2014/chart" uri="{C3380CC4-5D6E-409C-BE32-E72D297353CC}">
              <c16:uniqueId val="{00000000-ED47-4B80-B807-10AB9467DBAB}"/>
            </c:ext>
          </c:extLst>
        </c:ser>
        <c:dLbls>
          <c:dLblPos val="outEnd"/>
          <c:showLegendKey val="0"/>
          <c:showVal val="1"/>
          <c:showCatName val="0"/>
          <c:showSerName val="0"/>
          <c:showPercent val="0"/>
          <c:showBubbleSize val="0"/>
        </c:dLbls>
        <c:gapWidth val="182"/>
        <c:axId val="585009776"/>
        <c:axId val="585006168"/>
      </c:barChart>
      <c:catAx>
        <c:axId val="585009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5006168"/>
        <c:crosses val="autoZero"/>
        <c:auto val="1"/>
        <c:lblAlgn val="ctr"/>
        <c:lblOffset val="100"/>
        <c:noMultiLvlLbl val="0"/>
      </c:catAx>
      <c:valAx>
        <c:axId val="5850061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5009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EJECUCIÓN  PRIMER TRIMESTRE DEL POAI 2022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19-48D2-86CB-9FBB6AA458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19-48D2-86CB-9FBB6AA458A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 1 -2 TRIMESTRE'!$B$18:$C$18</c:f>
              <c:strCache>
                <c:ptCount val="2"/>
                <c:pt idx="0">
                  <c:v>ACTIVIDADES PROGRAMADAS  PRIEMER TRIMESTRE</c:v>
                </c:pt>
                <c:pt idx="1">
                  <c:v>ACTIVIDADES EJECUTADAS PRIMER   TRIMESTRE</c:v>
                </c:pt>
              </c:strCache>
            </c:strRef>
          </c:cat>
          <c:val>
            <c:numRef>
              <c:f>'GRAFICOS 1 -2 TRIMESTRE'!$B$19:$C$19</c:f>
              <c:numCache>
                <c:formatCode>#,##0</c:formatCode>
                <c:ptCount val="2"/>
                <c:pt idx="0">
                  <c:v>3770</c:v>
                </c:pt>
                <c:pt idx="1">
                  <c:v>3766</c:v>
                </c:pt>
              </c:numCache>
            </c:numRef>
          </c:val>
          <c:extLst>
            <c:ext xmlns:c16="http://schemas.microsoft.com/office/drawing/2014/chart" uri="{C3380CC4-5D6E-409C-BE32-E72D297353CC}">
              <c16:uniqueId val="{00000004-9519-48D2-86CB-9FBB6AA458A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EJECUCIÓN SEGUNDO TRIMESTRE DEL POAI 2022 </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5277777777777782E-2"/>
          <c:y val="0.30902741324001165"/>
          <c:w val="0.81388888888888888"/>
          <c:h val="0.40370333916593759"/>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FEA-4221-B908-1A43FA27005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FEA-4221-B908-1A43FA2700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 1 -2 TRIMESTRE'!$E$18:$F$18</c:f>
              <c:strCache>
                <c:ptCount val="2"/>
                <c:pt idx="0">
                  <c:v>TOTAL ACTIVIDADES PROGRAMADAS SEGUNDO TRIMESTRE</c:v>
                </c:pt>
                <c:pt idx="1">
                  <c:v>TOTAL EJECUTADAS  AL SEGUNDO TRIMESTRE</c:v>
                </c:pt>
              </c:strCache>
            </c:strRef>
          </c:cat>
          <c:val>
            <c:numRef>
              <c:f>'GRAFICOS 1 -2 TRIMESTRE'!$E$19:$F$19</c:f>
              <c:numCache>
                <c:formatCode>#,##0</c:formatCode>
                <c:ptCount val="2"/>
                <c:pt idx="0" formatCode="0">
                  <c:v>3493</c:v>
                </c:pt>
                <c:pt idx="1">
                  <c:v>3436</c:v>
                </c:pt>
              </c:numCache>
            </c:numRef>
          </c:val>
          <c:extLst>
            <c:ext xmlns:c16="http://schemas.microsoft.com/office/drawing/2014/chart" uri="{C3380CC4-5D6E-409C-BE32-E72D297353CC}">
              <c16:uniqueId val="{00000004-DFEA-4221-B908-1A43FA270059}"/>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EJECUCIÓN TERCER TRIMESTRE POAI 2022</a:t>
            </a:r>
          </a:p>
        </c:rich>
      </c:tx>
      <c:layout>
        <c:manualLayout>
          <c:xMode val="edge"/>
          <c:yMode val="edge"/>
          <c:x val="0.18745822397200351"/>
          <c:y val="1.851851851851851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5299-470E-833E-6972DCA2EB03}"/>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5299-470E-833E-6972DCA2EB03}"/>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99-470E-833E-6972DCA2EB03}"/>
                </c:ext>
              </c:extLst>
            </c:dLbl>
            <c:dLbl>
              <c:idx val="1"/>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99-470E-833E-6972DCA2EB03}"/>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'GRAFICOS TERCER TRIMESTRE'!$H$18:$I$18</c:f>
              <c:strCache>
                <c:ptCount val="2"/>
                <c:pt idx="0">
                  <c:v>ACTIVIDADES PROGRAMADAS  TERCER  TRIMESTRE</c:v>
                </c:pt>
                <c:pt idx="1">
                  <c:v>ACTIVIDADES EJECUTADAS TERCER  TRIMESTRE</c:v>
                </c:pt>
              </c:strCache>
            </c:strRef>
          </c:cat>
          <c:val>
            <c:numRef>
              <c:f>'GRAFICOS TERCER TRIMESTRE'!$H$19:$I$19</c:f>
              <c:numCache>
                <c:formatCode>#,##0</c:formatCode>
                <c:ptCount val="2"/>
                <c:pt idx="0">
                  <c:v>1363</c:v>
                </c:pt>
                <c:pt idx="1">
                  <c:v>1216</c:v>
                </c:pt>
              </c:numCache>
            </c:numRef>
          </c:val>
          <c:extLst>
            <c:ext xmlns:c16="http://schemas.microsoft.com/office/drawing/2014/chart" uri="{C3380CC4-5D6E-409C-BE32-E72D297353CC}">
              <c16:uniqueId val="{00000000-5299-470E-833E-6972DCA2EB03}"/>
            </c:ext>
          </c:extLst>
        </c:ser>
        <c:dLbls>
          <c:dLblPos val="ctr"/>
          <c:showLegendKey val="0"/>
          <c:showVal val="0"/>
          <c:showCatName val="1"/>
          <c:showSerName val="0"/>
          <c:showPercent val="0"/>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PORCENTAJE DE</a:t>
            </a:r>
            <a:r>
              <a:rPr lang="es-CO" baseline="0"/>
              <a:t> CUMPLIMIENTO  POAI 2022</a:t>
            </a:r>
            <a:endParaRPr lang="es-CO"/>
          </a:p>
        </c:rich>
      </c:tx>
      <c:layout>
        <c:manualLayout>
          <c:xMode val="edge"/>
          <c:yMode val="edge"/>
          <c:x val="0.19468044619422573"/>
          <c:y val="4.16666666666666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('GRAFICOS TERCER TRIMESTRE'!$D$18,'GRAFICOS TERCER TRIMESTRE'!$G$18,'GRAFICOS TERCER TRIMESTRE'!$J$18)</c:f>
              <c:strCache>
                <c:ptCount val="3"/>
                <c:pt idx="0">
                  <c:v>% CUMPLIMIENTO PRIMER  TRIMESTRE</c:v>
                </c:pt>
                <c:pt idx="1">
                  <c:v>% CUMPLIMIENTO SEGUNDO TRIMESTRE</c:v>
                </c:pt>
                <c:pt idx="2">
                  <c:v>% CUMPLIMIENTO TERCER TRIMESTRE</c:v>
                </c:pt>
              </c:strCache>
            </c:strRef>
          </c:cat>
          <c:val>
            <c:numRef>
              <c:f>('GRAFICOS TERCER TRIMESTRE'!$D$19,'GRAFICOS TERCER TRIMESTRE'!$G$19,'GRAFICOS TERCER TRIMESTRE'!$J$19)</c:f>
              <c:numCache>
                <c:formatCode>#,##0</c:formatCode>
                <c:ptCount val="3"/>
                <c:pt idx="0" formatCode="0">
                  <c:v>99.893899204244036</c:v>
                </c:pt>
                <c:pt idx="1">
                  <c:v>98.36816490123104</c:v>
                </c:pt>
                <c:pt idx="2">
                  <c:v>89.21496698459282</c:v>
                </c:pt>
              </c:numCache>
            </c:numRef>
          </c:val>
          <c:extLst>
            <c:ext xmlns:c16="http://schemas.microsoft.com/office/drawing/2014/chart" uri="{C3380CC4-5D6E-409C-BE32-E72D297353CC}">
              <c16:uniqueId val="{00000000-B0F9-4D9B-97AB-6F1D4EBD0622}"/>
            </c:ext>
          </c:extLst>
        </c:ser>
        <c:dLbls>
          <c:dLblPos val="outEnd"/>
          <c:showLegendKey val="0"/>
          <c:showVal val="1"/>
          <c:showCatName val="0"/>
          <c:showSerName val="0"/>
          <c:showPercent val="0"/>
          <c:showBubbleSize val="0"/>
        </c:dLbls>
        <c:gapWidth val="182"/>
        <c:axId val="524210912"/>
        <c:axId val="524205664"/>
      </c:barChart>
      <c:catAx>
        <c:axId val="524210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4205664"/>
        <c:crosses val="autoZero"/>
        <c:auto val="1"/>
        <c:lblAlgn val="ctr"/>
        <c:lblOffset val="100"/>
        <c:noMultiLvlLbl val="0"/>
      </c:catAx>
      <c:valAx>
        <c:axId val="5242056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4210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CUMPLIMIENTO A</a:t>
            </a:r>
            <a:r>
              <a:rPr lang="en-US" baseline="0"/>
              <a:t> SEPTIEMBRE 30 DE 2022 </a:t>
            </a:r>
            <a:r>
              <a:rPr lang="en-US"/>
              <a:t> </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3A9-454B-BD2D-837BD78119E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3A9-454B-BD2D-837BD78119E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3A9-454B-BD2D-837BD78119E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 TERCER TRIMESTRE'!$A$18,'GRAFICOS TERCER TRIMESTRE'!$N$18:$O$18)</c:f>
              <c:strCache>
                <c:ptCount val="3"/>
                <c:pt idx="0">
                  <c:v>ACTIVIDADES PROGRAMADAS AÑO</c:v>
                </c:pt>
                <c:pt idx="1">
                  <c:v>TOTAL CUMPLIMIENTO DE ACTIVIDADES -AÑO</c:v>
                </c:pt>
                <c:pt idx="2">
                  <c:v>% CUMPLIMIENTO AÑO</c:v>
                </c:pt>
              </c:strCache>
            </c:strRef>
          </c:cat>
          <c:val>
            <c:numRef>
              <c:f>('GRAFICOS TERCER TRIMESTRE'!$A$19,'GRAFICOS TERCER TRIMESTRE'!$N$19:$O$19)</c:f>
              <c:numCache>
                <c:formatCode>0</c:formatCode>
                <c:ptCount val="3"/>
                <c:pt idx="0" formatCode="#,##0">
                  <c:v>9255</c:v>
                </c:pt>
                <c:pt idx="1">
                  <c:v>8418</c:v>
                </c:pt>
                <c:pt idx="2" formatCode="0%">
                  <c:v>0.90956239870340361</c:v>
                </c:pt>
              </c:numCache>
            </c:numRef>
          </c:val>
          <c:extLst>
            <c:ext xmlns:c16="http://schemas.microsoft.com/office/drawing/2014/chart" uri="{C3380CC4-5D6E-409C-BE32-E72D297353CC}">
              <c16:uniqueId val="{00000000-D541-4377-8AA7-3F2FCF75C9D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EJECUCIÓN CUARTO TRIMESTRE DEL POAI 2022</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dLbls>
          <c:dLblPos val="ctr"/>
          <c:showLegendKey val="0"/>
          <c:showVal val="0"/>
          <c:showCatName val="0"/>
          <c:showSerName val="0"/>
          <c:showPercent val="1"/>
          <c:showBubbleSize val="0"/>
          <c:showLeaderLines val="0"/>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EJECUCIÓN  PRIMER TRIMESTRE DEL POAI 2022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7F9-490F-B327-93ED7FD9B0B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7F9-490F-B327-93ED7FD9B0B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'[2]GRAFICOS 1 -2 TRIMESTRE'!$B$18:$C$18</c:f>
              <c:strCache>
                <c:ptCount val="2"/>
                <c:pt idx="0">
                  <c:v>ACTIVIDADES PROGRAMADAS  PRIEMER TRIMESTRE</c:v>
                </c:pt>
                <c:pt idx="1">
                  <c:v>ACTIVIDADES EJECUTADAS PRIMER   TRIMESTRE</c:v>
                </c:pt>
              </c:strCache>
            </c:strRef>
          </c:cat>
          <c:val>
            <c:numRef>
              <c:f>'[2]GRAFICOS 1 -2 TRIMESTRE'!$B$19:$C$19</c:f>
              <c:numCache>
                <c:formatCode>General</c:formatCode>
                <c:ptCount val="2"/>
                <c:pt idx="0">
                  <c:v>3770</c:v>
                </c:pt>
                <c:pt idx="1">
                  <c:v>3766</c:v>
                </c:pt>
              </c:numCache>
            </c:numRef>
          </c:val>
          <c:extLst>
            <c:ext xmlns:c16="http://schemas.microsoft.com/office/drawing/2014/chart" uri="{C3380CC4-5D6E-409C-BE32-E72D297353CC}">
              <c16:uniqueId val="{00000004-A7F9-490F-B327-93ED7FD9B0B6}"/>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s-CO"/>
              <a:t>EJECUCIÓN POAI 2022</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764-4FD0-94BE-155D13A5CF3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764-4FD0-94BE-155D13A5CF3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764-4FD0-94BE-155D13A5CF3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764-4FD0-94BE-155D13A5CF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'[5] GRAFICAS POAI'!$S$18:$U$19</c:f>
              <c:multiLvlStrCache>
                <c:ptCount val="3"/>
                <c:lvl>
                  <c:pt idx="0">
                    <c:v>ACTIVIDADES PROGRAMADAS VIGENCIA 2022</c:v>
                  </c:pt>
                  <c:pt idx="1">
                    <c:v>TOTAL CUMPLIMIENTO DE ACTIVIDADES -VIGENCIA  2022</c:v>
                  </c:pt>
                  <c:pt idx="2">
                    <c:v>% CUMPLIMIENTOVIGENCIA 2022</c:v>
                  </c:pt>
                </c:lvl>
                <c:lvl>
                  <c:pt idx="0">
                    <c:v>EJECUCIÓN POAI 2022</c:v>
                  </c:pt>
                </c:lvl>
              </c:multiLvlStrCache>
            </c:multiLvlStrRef>
          </c:cat>
          <c:val>
            <c:numRef>
              <c:f>'[5] GRAFICAS POAI'!$S$20:$U$20</c:f>
              <c:numCache>
                <c:formatCode>General</c:formatCode>
                <c:ptCount val="3"/>
                <c:pt idx="0">
                  <c:v>9265</c:v>
                </c:pt>
                <c:pt idx="1">
                  <c:v>9014</c:v>
                </c:pt>
                <c:pt idx="2">
                  <c:v>97.290879654614145</c:v>
                </c:pt>
              </c:numCache>
            </c:numRef>
          </c:val>
          <c:extLst>
            <c:ext xmlns:c16="http://schemas.microsoft.com/office/drawing/2014/chart" uri="{C3380CC4-5D6E-409C-BE32-E72D297353CC}">
              <c16:uniqueId val="{00000008-D764-4FD0-94BE-155D13A5CF35}"/>
            </c:ext>
          </c:extLst>
        </c:ser>
        <c:dLbls>
          <c:dLblPos val="bestFit"/>
          <c:showLegendKey val="0"/>
          <c:showVal val="1"/>
          <c:showCatName val="0"/>
          <c:showSerName val="0"/>
          <c:showPercent val="0"/>
          <c:showBubbleSize val="0"/>
          <c:showLeaderLines val="1"/>
        </c:dLbls>
        <c:gapWidth val="100"/>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EJECUCIÓN</a:t>
            </a:r>
            <a:r>
              <a:rPr lang="en-US" baseline="0"/>
              <a:t> 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'[5] GRAFICAS POAI'!$O$18</c:f>
              <c:strCache>
                <c:ptCount val="1"/>
                <c:pt idx="0">
                  <c:v>% CUMPLIMIENTO AÑO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 GRAFICAS POAI'!$O$19</c:f>
              <c:numCache>
                <c:formatCode>General</c:formatCode>
                <c:ptCount val="1"/>
                <c:pt idx="0">
                  <c:v>0.97290879654614137</c:v>
                </c:pt>
              </c:numCache>
            </c:numRef>
          </c:val>
          <c:extLst>
            <c:ext xmlns:c16="http://schemas.microsoft.com/office/drawing/2014/chart" uri="{C3380CC4-5D6E-409C-BE32-E72D297353CC}">
              <c16:uniqueId val="{00000000-881C-482D-93F4-90C433091A10}"/>
            </c:ext>
          </c:extLst>
        </c:ser>
        <c:dLbls>
          <c:showLegendKey val="0"/>
          <c:showVal val="0"/>
          <c:showCatName val="0"/>
          <c:showSerName val="0"/>
          <c:showPercent val="0"/>
          <c:showBubbleSize val="0"/>
        </c:dLbls>
        <c:gapWidth val="219"/>
        <c:overlap val="-27"/>
        <c:axId val="493044400"/>
        <c:axId val="493044760"/>
      </c:barChart>
      <c:catAx>
        <c:axId val="4930444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044760"/>
        <c:crosses val="autoZero"/>
        <c:auto val="1"/>
        <c:lblAlgn val="ctr"/>
        <c:lblOffset val="100"/>
        <c:noMultiLvlLbl val="0"/>
      </c:catAx>
      <c:valAx>
        <c:axId val="493044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044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EJECUCIÓN POR TRIMESTRE POAI</a:t>
            </a:r>
            <a:r>
              <a:rPr lang="es-CO" baseline="0"/>
              <a:t> 2022</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GRAFICAS POAI'!$D$18,'[5] GRAFICAS POAI'!$G$18,'[5] GRAFICAS POAI'!$J$18,'[5] GRAFICAS POAI'!$M$18)</c:f>
              <c:strCache>
                <c:ptCount val="4"/>
                <c:pt idx="0">
                  <c:v>% CUMPLIMIENTO PRIMER  TRIMESTRE</c:v>
                </c:pt>
                <c:pt idx="1">
                  <c:v>% CUMPLIMIENTO SEGUNDO TRIMESTRE</c:v>
                </c:pt>
                <c:pt idx="2">
                  <c:v>% CUMPLIMIENTO TERCER TRIMESTRE</c:v>
                </c:pt>
                <c:pt idx="3">
                  <c:v>% CUMPLIMIENTO CUARTO  TRIMESTRE</c:v>
                </c:pt>
              </c:strCache>
            </c:strRef>
          </c:cat>
          <c:val>
            <c:numRef>
              <c:f>('[5] GRAFICAS POAI'!$D$19,'[5] GRAFICAS POAI'!$G$19,'[5] GRAFICAS POAI'!$J$19,'[5] GRAFICAS POAI'!$M$19)</c:f>
              <c:numCache>
                <c:formatCode>General</c:formatCode>
                <c:ptCount val="4"/>
                <c:pt idx="0">
                  <c:v>99.893899204244036</c:v>
                </c:pt>
                <c:pt idx="1">
                  <c:v>97.557003257328986</c:v>
                </c:pt>
                <c:pt idx="2">
                  <c:v>89.21496698459282</c:v>
                </c:pt>
                <c:pt idx="3">
                  <c:v>93.991416309012877</c:v>
                </c:pt>
              </c:numCache>
            </c:numRef>
          </c:val>
          <c:extLst>
            <c:ext xmlns:c16="http://schemas.microsoft.com/office/drawing/2014/chart" uri="{C3380CC4-5D6E-409C-BE32-E72D297353CC}">
              <c16:uniqueId val="{00000000-42D4-447D-B517-CE7D03C5625F}"/>
            </c:ext>
          </c:extLst>
        </c:ser>
        <c:dLbls>
          <c:showLegendKey val="0"/>
          <c:showVal val="0"/>
          <c:showCatName val="0"/>
          <c:showSerName val="0"/>
          <c:showPercent val="0"/>
          <c:showBubbleSize val="0"/>
        </c:dLbls>
        <c:gapWidth val="182"/>
        <c:axId val="692187840"/>
        <c:axId val="692191800"/>
      </c:barChart>
      <c:catAx>
        <c:axId val="6921878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92191800"/>
        <c:crosses val="autoZero"/>
        <c:auto val="1"/>
        <c:lblAlgn val="ctr"/>
        <c:lblOffset val="100"/>
        <c:noMultiLvlLbl val="0"/>
      </c:catAx>
      <c:valAx>
        <c:axId val="6921918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92187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EJECUCIÓN 4 TRIMESTRE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78E-4F22-B4EA-FEB161749EB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78E-4F22-B4EA-FEB161749EB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'[5] GRAFICAS POAI'!$K$18:$L$18</c:f>
              <c:strCache>
                <c:ptCount val="2"/>
                <c:pt idx="0">
                  <c:v>TOTAL ACTIVIDADES PROGRAMADAS CUARTO  TRIMESTRE</c:v>
                </c:pt>
                <c:pt idx="1">
                  <c:v>TOTAL EJECUTADAS  AL CUARTO TRIMESTRE TRIMESTRE</c:v>
                </c:pt>
              </c:strCache>
            </c:strRef>
          </c:cat>
          <c:val>
            <c:numRef>
              <c:f>'[5] GRAFICAS POAI'!$K$19:$L$19</c:f>
              <c:numCache>
                <c:formatCode>General</c:formatCode>
                <c:ptCount val="2"/>
                <c:pt idx="0">
                  <c:v>466</c:v>
                </c:pt>
                <c:pt idx="1">
                  <c:v>438</c:v>
                </c:pt>
              </c:numCache>
            </c:numRef>
          </c:val>
          <c:extLst>
            <c:ext xmlns:c16="http://schemas.microsoft.com/office/drawing/2014/chart" uri="{C3380CC4-5D6E-409C-BE32-E72D297353CC}">
              <c16:uniqueId val="{00000004-778E-4F22-B4EA-FEB161749EB8}"/>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EJECUCIÓN 3 TRIMESTRE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87EC-475A-B22F-873362753D51}"/>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87EC-475A-B22F-873362753D5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'[5] GRAFICAS POAI'!$H$18:$I$18</c:f>
              <c:strCache>
                <c:ptCount val="2"/>
                <c:pt idx="0">
                  <c:v>ACTIVIDADES PROGRAMADAS  TERCER  TRIMESTRE</c:v>
                </c:pt>
                <c:pt idx="1">
                  <c:v>ACTIVIDADES EJECUTADAS TERCER  TRIMESTRE</c:v>
                </c:pt>
              </c:strCache>
            </c:strRef>
          </c:cat>
          <c:val>
            <c:numRef>
              <c:f>'[5] GRAFICAS POAI'!$H$19:$I$19</c:f>
              <c:numCache>
                <c:formatCode>General</c:formatCode>
                <c:ptCount val="2"/>
                <c:pt idx="0">
                  <c:v>1363</c:v>
                </c:pt>
                <c:pt idx="1">
                  <c:v>1216</c:v>
                </c:pt>
              </c:numCache>
            </c:numRef>
          </c:val>
          <c:extLst>
            <c:ext xmlns:c16="http://schemas.microsoft.com/office/drawing/2014/chart" uri="{C3380CC4-5D6E-409C-BE32-E72D297353CC}">
              <c16:uniqueId val="{00000004-87EC-475A-B22F-873362753D51}"/>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EJECUCIÓN 2 TRIMESTRE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3B7-420A-9E23-2C792590DBA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3B7-420A-9E23-2C792590DBA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'[5] GRAFICAS POAI'!$E$18:$F$18</c:f>
              <c:strCache>
                <c:ptCount val="2"/>
                <c:pt idx="0">
                  <c:v>TOTAL ACTIVIDADES PROGRAMADAS SEGUNDO TRIMESTRE</c:v>
                </c:pt>
                <c:pt idx="1">
                  <c:v>TOTAL EJECUTADAS  AL SEGUNDO TRIMESTRE</c:v>
                </c:pt>
              </c:strCache>
            </c:strRef>
          </c:cat>
          <c:val>
            <c:numRef>
              <c:f>'[5] GRAFICAS POAI'!$E$19:$F$19</c:f>
              <c:numCache>
                <c:formatCode>General</c:formatCode>
                <c:ptCount val="2"/>
                <c:pt idx="0">
                  <c:v>3684</c:v>
                </c:pt>
                <c:pt idx="1">
                  <c:v>3594</c:v>
                </c:pt>
              </c:numCache>
            </c:numRef>
          </c:val>
          <c:extLst>
            <c:ext xmlns:c16="http://schemas.microsoft.com/office/drawing/2014/chart" uri="{C3380CC4-5D6E-409C-BE32-E72D297353CC}">
              <c16:uniqueId val="{00000004-33B7-420A-9E23-2C792590DBA1}"/>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'RESUMEN LINEAS-POAI'!$C$17</c:f>
              <c:strCache>
                <c:ptCount val="1"/>
                <c:pt idx="0">
                  <c:v>PRIMER TRIMESTRE</c:v>
                </c:pt>
              </c:strCache>
            </c:strRef>
          </c:tx>
          <c:spPr>
            <a:solidFill>
              <a:schemeClr val="accent1"/>
            </a:solidFill>
            <a:ln>
              <a:noFill/>
            </a:ln>
            <a:effectLst/>
          </c:spPr>
          <c:invertIfNegative val="0"/>
          <c:cat>
            <c:strRef>
              <c:f>'RESUMEN LINEAS-POAI'!$A$18:$A$26</c:f>
              <c:strCache>
                <c:ptCount val="9"/>
                <c:pt idx="1">
                  <c:v>Linea 1</c:v>
                </c:pt>
                <c:pt idx="2">
                  <c:v>Linea 2</c:v>
                </c:pt>
                <c:pt idx="3">
                  <c:v>Linea 3</c:v>
                </c:pt>
                <c:pt idx="4">
                  <c:v>Linea 4</c:v>
                </c:pt>
                <c:pt idx="5">
                  <c:v>Linea 5</c:v>
                </c:pt>
                <c:pt idx="6">
                  <c:v>Linea 6</c:v>
                </c:pt>
                <c:pt idx="7">
                  <c:v>Linea 7</c:v>
                </c:pt>
                <c:pt idx="8">
                  <c:v>Linea 8</c:v>
                </c:pt>
              </c:strCache>
            </c:strRef>
          </c:cat>
          <c:val>
            <c:numRef>
              <c:f>'RESUMEN LINEAS-POAI'!$C$18:$C$26</c:f>
              <c:numCache>
                <c:formatCode>#,##0</c:formatCode>
                <c:ptCount val="9"/>
                <c:pt idx="1">
                  <c:v>173840008</c:v>
                </c:pt>
                <c:pt idx="2">
                  <c:v>19616792701</c:v>
                </c:pt>
                <c:pt idx="3">
                  <c:v>17905329215</c:v>
                </c:pt>
                <c:pt idx="4">
                  <c:v>1199259976</c:v>
                </c:pt>
                <c:pt idx="5">
                  <c:v>66897654</c:v>
                </c:pt>
                <c:pt idx="6">
                  <c:v>34848791</c:v>
                </c:pt>
                <c:pt idx="7">
                  <c:v>116614327</c:v>
                </c:pt>
                <c:pt idx="8">
                  <c:v>623402330.39999986</c:v>
                </c:pt>
              </c:numCache>
            </c:numRef>
          </c:val>
          <c:extLst>
            <c:ext xmlns:c16="http://schemas.microsoft.com/office/drawing/2014/chart" uri="{C3380CC4-5D6E-409C-BE32-E72D297353CC}">
              <c16:uniqueId val="{00000000-7E16-48CC-B6A5-8209A6A31938}"/>
            </c:ext>
          </c:extLst>
        </c:ser>
        <c:ser>
          <c:idx val="1"/>
          <c:order val="1"/>
          <c:tx>
            <c:strRef>
              <c:f>'RESUMEN LINEAS-POAI'!$D$17</c:f>
              <c:strCache>
                <c:ptCount val="1"/>
                <c:pt idx="0">
                  <c:v>SEGUNDO  TRIMESTRE</c:v>
                </c:pt>
              </c:strCache>
            </c:strRef>
          </c:tx>
          <c:spPr>
            <a:solidFill>
              <a:schemeClr val="accent2"/>
            </a:solidFill>
            <a:ln>
              <a:noFill/>
            </a:ln>
            <a:effectLst/>
          </c:spPr>
          <c:invertIfNegative val="0"/>
          <c:cat>
            <c:strRef>
              <c:f>'RESUMEN LINEAS-POAI'!$A$18:$A$26</c:f>
              <c:strCache>
                <c:ptCount val="9"/>
                <c:pt idx="1">
                  <c:v>Linea 1</c:v>
                </c:pt>
                <c:pt idx="2">
                  <c:v>Linea 2</c:v>
                </c:pt>
                <c:pt idx="3">
                  <c:v>Linea 3</c:v>
                </c:pt>
                <c:pt idx="4">
                  <c:v>Linea 4</c:v>
                </c:pt>
                <c:pt idx="5">
                  <c:v>Linea 5</c:v>
                </c:pt>
                <c:pt idx="6">
                  <c:v>Linea 6</c:v>
                </c:pt>
                <c:pt idx="7">
                  <c:v>Linea 7</c:v>
                </c:pt>
                <c:pt idx="8">
                  <c:v>Linea 8</c:v>
                </c:pt>
              </c:strCache>
            </c:strRef>
          </c:cat>
          <c:val>
            <c:numRef>
              <c:f>'RESUMEN LINEAS-POAI'!$D$18:$D$26</c:f>
              <c:numCache>
                <c:formatCode>#,##0</c:formatCode>
                <c:ptCount val="9"/>
                <c:pt idx="1">
                  <c:v>173840008</c:v>
                </c:pt>
                <c:pt idx="2">
                  <c:v>10766076558</c:v>
                </c:pt>
                <c:pt idx="3">
                  <c:v>8782218462</c:v>
                </c:pt>
                <c:pt idx="4">
                  <c:v>1687108234</c:v>
                </c:pt>
                <c:pt idx="5">
                  <c:v>66897654</c:v>
                </c:pt>
                <c:pt idx="6">
                  <c:v>34848791</c:v>
                </c:pt>
                <c:pt idx="7">
                  <c:v>14923578</c:v>
                </c:pt>
                <c:pt idx="8">
                  <c:v>747455070.99999988</c:v>
                </c:pt>
              </c:numCache>
            </c:numRef>
          </c:val>
          <c:extLst>
            <c:ext xmlns:c16="http://schemas.microsoft.com/office/drawing/2014/chart" uri="{C3380CC4-5D6E-409C-BE32-E72D297353CC}">
              <c16:uniqueId val="{00000001-7E16-48CC-B6A5-8209A6A31938}"/>
            </c:ext>
          </c:extLst>
        </c:ser>
        <c:dLbls>
          <c:showLegendKey val="0"/>
          <c:showVal val="0"/>
          <c:showCatName val="0"/>
          <c:showSerName val="0"/>
          <c:showPercent val="0"/>
          <c:showBubbleSize val="0"/>
        </c:dLbls>
        <c:gapWidth val="219"/>
        <c:overlap val="-27"/>
        <c:axId val="530405728"/>
        <c:axId val="530403760"/>
        <c:extLst>
          <c:ext xmlns:c15="http://schemas.microsoft.com/office/drawing/2012/chart" uri="{02D57815-91ED-43cb-92C2-25804820EDAC}">
            <c15:filteredBarSeries>
              <c15:ser>
                <c:idx val="2"/>
                <c:order val="2"/>
                <c:tx>
                  <c:strRef>
                    <c:extLst>
                      <c:ext uri="{02D57815-91ED-43cb-92C2-25804820EDAC}">
                        <c15:formulaRef>
                          <c15:sqref>'RESUMEN LINEAS-POAI'!$E$17</c15:sqref>
                        </c15:formulaRef>
                      </c:ext>
                    </c:extLst>
                    <c:strCache>
                      <c:ptCount val="1"/>
                      <c:pt idx="0">
                        <c:v>TERCER TRIMESTRE</c:v>
                      </c:pt>
                    </c:strCache>
                  </c:strRef>
                </c:tx>
                <c:spPr>
                  <a:solidFill>
                    <a:schemeClr val="accent3"/>
                  </a:solidFill>
                  <a:ln>
                    <a:noFill/>
                  </a:ln>
                  <a:effectLst/>
                </c:spPr>
                <c:invertIfNegative val="0"/>
                <c:cat>
                  <c:strRef>
                    <c:extLst>
                      <c:ext uri="{02D57815-91ED-43cb-92C2-25804820EDAC}">
                        <c15:formulaRef>
                          <c15:sqref>'RESUMEN LINEAS-POAI'!$A$18:$A$26</c15:sqref>
                        </c15:formulaRef>
                      </c:ext>
                    </c:extLst>
                    <c:strCache>
                      <c:ptCount val="9"/>
                      <c:pt idx="1">
                        <c:v>Linea 1</c:v>
                      </c:pt>
                      <c:pt idx="2">
                        <c:v>Linea 2</c:v>
                      </c:pt>
                      <c:pt idx="3">
                        <c:v>Linea 3</c:v>
                      </c:pt>
                      <c:pt idx="4">
                        <c:v>Linea 4</c:v>
                      </c:pt>
                      <c:pt idx="5">
                        <c:v>Linea 5</c:v>
                      </c:pt>
                      <c:pt idx="6">
                        <c:v>Linea 6</c:v>
                      </c:pt>
                      <c:pt idx="7">
                        <c:v>Linea 7</c:v>
                      </c:pt>
                      <c:pt idx="8">
                        <c:v>Linea 8</c:v>
                      </c:pt>
                    </c:strCache>
                  </c:strRef>
                </c:cat>
                <c:val>
                  <c:numRef>
                    <c:extLst>
                      <c:ext uri="{02D57815-91ED-43cb-92C2-25804820EDAC}">
                        <c15:formulaRef>
                          <c15:sqref>'RESUMEN LINEAS-POAI'!$E$18:$E$26</c15:sqref>
                        </c15:formulaRef>
                      </c:ext>
                    </c:extLst>
                    <c:numCache>
                      <c:formatCode>General</c:formatCode>
                      <c:ptCount val="9"/>
                      <c:pt idx="1">
                        <c:v>0</c:v>
                      </c:pt>
                      <c:pt idx="2">
                        <c:v>0</c:v>
                      </c:pt>
                      <c:pt idx="3">
                        <c:v>0</c:v>
                      </c:pt>
                      <c:pt idx="4">
                        <c:v>0</c:v>
                      </c:pt>
                      <c:pt idx="5">
                        <c:v>0</c:v>
                      </c:pt>
                      <c:pt idx="6">
                        <c:v>34848791</c:v>
                      </c:pt>
                      <c:pt idx="7">
                        <c:v>0</c:v>
                      </c:pt>
                      <c:pt idx="8">
                        <c:v>0</c:v>
                      </c:pt>
                    </c:numCache>
                  </c:numRef>
                </c:val>
                <c:extLst>
                  <c:ext xmlns:c16="http://schemas.microsoft.com/office/drawing/2014/chart" uri="{C3380CC4-5D6E-409C-BE32-E72D297353CC}">
                    <c16:uniqueId val="{00000002-7E16-48CC-B6A5-8209A6A31938}"/>
                  </c:ext>
                </c:extLst>
              </c15:ser>
            </c15:filteredBarSeries>
          </c:ext>
        </c:extLst>
      </c:barChart>
      <c:catAx>
        <c:axId val="53040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403760"/>
        <c:crosses val="autoZero"/>
        <c:auto val="1"/>
        <c:lblAlgn val="ctr"/>
        <c:lblOffset val="100"/>
        <c:noMultiLvlLbl val="0"/>
      </c:catAx>
      <c:valAx>
        <c:axId val="530403760"/>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30405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POAI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'COSOLIDADO POAI'!$D$3</c:f>
              <c:strCache>
                <c:ptCount val="1"/>
                <c:pt idx="0">
                  <c:v>TOTAL LINEA</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8-F269-494C-8990-B4B8C0026D6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E0F-4F2B-8E54-143A6FAE0CF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E0F-4F2B-8E54-143A6FAE0CF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7E0F-4F2B-8E54-143A6FAE0CF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7E0F-4F2B-8E54-143A6FAE0CF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7E0F-4F2B-8E54-143A6FAE0CF6}"/>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7E0F-4F2B-8E54-143A6FAE0CF6}"/>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F269-494C-8990-B4B8C0026D66}"/>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7E0F-4F2B-8E54-143A6FAE0CF6}"/>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7E0F-4F2B-8E54-143A6FAE0CF6}"/>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7E0F-4F2B-8E54-143A6FAE0CF6}"/>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4-F269-494C-8990-B4B8C0026D66}"/>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7E0F-4F2B-8E54-143A6FAE0CF6}"/>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F269-494C-8990-B4B8C0026D66}"/>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7E0F-4F2B-8E54-143A6FAE0CF6}"/>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6-F269-494C-8990-B4B8C0026D66}"/>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F269-494C-8990-B4B8C0026D66}"/>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7E0F-4F2B-8E54-143A6FAE0CF6}"/>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7E0F-4F2B-8E54-143A6FAE0CF6}"/>
              </c:ext>
            </c:extLst>
          </c:dPt>
          <c:dLbls>
            <c:dLbl>
              <c:idx val="0"/>
              <c:layout>
                <c:manualLayout>
                  <c:x val="0.1486432161106814"/>
                  <c:y val="6.384222111174045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69-494C-8990-B4B8C0026D66}"/>
                </c:ext>
              </c:extLst>
            </c:dLbl>
            <c:dLbl>
              <c:idx val="7"/>
              <c:layout>
                <c:manualLayout>
                  <c:x val="-0.17443187147640604"/>
                  <c:y val="-3.0772727133130434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69-494C-8990-B4B8C0026D66}"/>
                </c:ext>
              </c:extLst>
            </c:dLbl>
            <c:dLbl>
              <c:idx val="11"/>
              <c:layout>
                <c:manualLayout>
                  <c:x val="-0.10886287124964274"/>
                  <c:y val="-8.485577313296108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69-494C-8990-B4B8C0026D66}"/>
                </c:ext>
              </c:extLst>
            </c:dLbl>
            <c:dLbl>
              <c:idx val="13"/>
              <c:layout>
                <c:manualLayout>
                  <c:x val="-0.10585971323375962"/>
                  <c:y val="-2.839852392695798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9.6931785611635346E-2"/>
                      <c:h val="4.3182287825468534E-2"/>
                    </c:manualLayout>
                  </c15:layout>
                </c:ext>
                <c:ext xmlns:c16="http://schemas.microsoft.com/office/drawing/2014/chart" uri="{C3380CC4-5D6E-409C-BE32-E72D297353CC}">
                  <c16:uniqueId val="{00000005-F269-494C-8990-B4B8C0026D66}"/>
                </c:ext>
              </c:extLst>
            </c:dLbl>
            <c:dLbl>
              <c:idx val="15"/>
              <c:layout>
                <c:manualLayout>
                  <c:x val="0.16507547362706249"/>
                  <c:y val="-0.102267985965811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69-494C-8990-B4B8C0026D66}"/>
                </c:ext>
              </c:extLst>
            </c:dLbl>
            <c:dLbl>
              <c:idx val="16"/>
              <c:layout>
                <c:manualLayout>
                  <c:x val="0.20397527777504393"/>
                  <c:y val="-5.908569814034276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69-494C-8990-B4B8C0026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('COSOLIDADO POAI'!$A$4:$A$6,'COSOLIDADO POAI'!$A$7:$A$8,'COSOLIDADO POAI'!$A$9:$A$10,'COSOLIDADO POAI'!$A$11:$A$14,'COSOLIDADO POAI'!$A$15:$A$16,'COSOLIDADO POAI'!$A$17:$A$18,'COSOLIDADO POAI'!$A$19,'COSOLIDADO POAI'!$A$20:$A$22)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('COSOLIDADO POAI'!$D$4:$D$6,'COSOLIDADO POAI'!$D$7:$D$8,'COSOLIDADO POAI'!$D$9:$D$10,'COSOLIDADO POAI'!$D$11:$D$14,'COSOLIDADO POAI'!$D$15:$D$16,'COSOLIDADO POAI'!$D$17:$D$18,'COSOLIDADO POAI'!$D$19,'COSOLIDADO POAI'!$D$20:$D$22)</c:f>
              <c:numCache>
                <c:formatCode>_-"$"\ * #,##0_-;\-"$"\ * #,##0_-;_-"$"\ * "-"?_-;_-@_-</c:formatCode>
                <c:ptCount val="19"/>
                <c:pt idx="0">
                  <c:v>876375074</c:v>
                </c:pt>
                <c:pt idx="3" formatCode="_(&quot;$&quot;* #,##0.00_);_(&quot;$&quot;* \(#,##0.00\);_(&quot;$&quot;* &quot;-&quot;??_);_(@_)">
                  <c:v>59599968609</c:v>
                </c:pt>
                <c:pt idx="5" formatCode="_(&quot;$&quot;* #,##0.00_);_(&quot;$&quot;* \(#,##0.00\);_(&quot;$&quot;* &quot;-&quot;??_);_(@_)">
                  <c:v>86291752748</c:v>
                </c:pt>
                <c:pt idx="7" formatCode="_(&quot;$&quot;* #,##0.00_);_(&quot;$&quot;* \(#,##0.00\);_(&quot;$&quot;* &quot;-&quot;??_);_(@_)">
                  <c:v>4099902821</c:v>
                </c:pt>
                <c:pt idx="11" formatCode="_(&quot;$&quot;* #,##0.00_);_(&quot;$&quot;* \(#,##0.00\);_(&quot;$&quot;* &quot;-&quot;??_);_(@_)">
                  <c:v>425717734</c:v>
                </c:pt>
                <c:pt idx="13" formatCode="_(&quot;$&quot;* #,##0.00_);_(&quot;$&quot;* \(#,##0.00\);_(&quot;$&quot;* &quot;-&quot;??_);_(@_)">
                  <c:v>252052566</c:v>
                </c:pt>
                <c:pt idx="15" formatCode="_(&quot;$&quot;* #,##0.00_);_(&quot;$&quot;* \(#,##0.00\);_(&quot;$&quot;* &quot;-&quot;??_);_(@_)">
                  <c:v>392400000</c:v>
                </c:pt>
                <c:pt idx="16" formatCode="_-&quot;$&quot;\ * #,##0_-;\-&quot;$&quot;\ * #,##0_-;_-&quot;$&quot;\ * &quot;-&quot;??_-;_-@_-">
                  <c:v>2272664045</c:v>
                </c:pt>
              </c:numCache>
            </c:numRef>
          </c:val>
          <c:extLst>
            <c:ext xmlns:c16="http://schemas.microsoft.com/office/drawing/2014/chart" uri="{C3380CC4-5D6E-409C-BE32-E72D297353CC}">
              <c16:uniqueId val="{00000000-F269-494C-8990-B4B8C0026D66}"/>
            </c:ext>
          </c:extLst>
        </c:ser>
        <c:ser>
          <c:idx val="1"/>
          <c:order val="1"/>
          <c:tx>
            <c:strRef>
              <c:f>'COSOLIDADO POAI'!$F$3</c:f>
              <c:strCache>
                <c:ptCount val="1"/>
                <c:pt idx="0">
                  <c:v>% LINEA SOBRE TOTAL PRESUPUESTO </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27-7E0F-4F2B-8E54-143A6FAE0CF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29-7E0F-4F2B-8E54-143A6FAE0CF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2B-7E0F-4F2B-8E54-143A6FAE0CF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2D-7E0F-4F2B-8E54-143A6FAE0CF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2F-7E0F-4F2B-8E54-143A6FAE0CF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31-7E0F-4F2B-8E54-143A6FAE0CF6}"/>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3-7E0F-4F2B-8E54-143A6FAE0CF6}"/>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5-7E0F-4F2B-8E54-143A6FAE0CF6}"/>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7-7E0F-4F2B-8E54-143A6FAE0CF6}"/>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9-7E0F-4F2B-8E54-143A6FAE0CF6}"/>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B-7E0F-4F2B-8E54-143A6FAE0CF6}"/>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D-7E0F-4F2B-8E54-143A6FAE0CF6}"/>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F-7E0F-4F2B-8E54-143A6FAE0CF6}"/>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1-7E0F-4F2B-8E54-143A6FAE0CF6}"/>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3-7E0F-4F2B-8E54-143A6FAE0CF6}"/>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5-7E0F-4F2B-8E54-143A6FAE0CF6}"/>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7-7E0F-4F2B-8E54-143A6FAE0CF6}"/>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9-7E0F-4F2B-8E54-143A6FAE0CF6}"/>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B-7E0F-4F2B-8E54-143A6FAE0C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('COSOLIDADO POAI'!$A$4:$A$6,'COSOLIDADO POAI'!$A$7:$A$8,'COSOLIDADO POAI'!$A$9:$A$10,'COSOLIDADO POAI'!$A$11:$A$14,'COSOLIDADO POAI'!$A$15:$A$16,'COSOLIDADO POAI'!$A$17:$A$18,'COSOLIDADO POAI'!$A$19,'COSOLIDADO POAI'!$A$20:$A$22)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('COSOLIDADO POAI'!$F$4:$F$6,'COSOLIDADO POAI'!$F$7:$F$8,'COSOLIDADO POAI'!$F$9:$F$10,'COSOLIDADO POAI'!$F$11:$F$14,'COSOLIDADO POAI'!$F$15:$F$16,'COSOLIDADO POAI'!$F$17:$F$18,'COSOLIDADO POAI'!$F$19,'COSOLIDADO POAI'!$F$20:$F$22)</c:f>
              <c:numCache>
                <c:formatCode>0.0</c:formatCode>
                <c:ptCount val="19"/>
                <c:pt idx="0">
                  <c:v>0.56829669716346631</c:v>
                </c:pt>
                <c:pt idx="3">
                  <c:v>38.648366796818515</c:v>
                </c:pt>
                <c:pt idx="5">
                  <c:v>55.956997790120703</c:v>
                </c:pt>
                <c:pt idx="7">
                  <c:v>2.6586347569550774</c:v>
                </c:pt>
                <c:pt idx="11">
                  <c:v>0.2760621443189461</c:v>
                </c:pt>
                <c:pt idx="13">
                  <c:v>0.16344673076516164</c:v>
                </c:pt>
                <c:pt idx="15">
                  <c:v>0.25445683085110676</c:v>
                </c:pt>
                <c:pt idx="16">
                  <c:v>1.4737382530070262</c:v>
                </c:pt>
              </c:numCache>
            </c:numRef>
          </c:val>
          <c:extLst>
            <c:ext xmlns:c16="http://schemas.microsoft.com/office/drawing/2014/chart" uri="{C3380CC4-5D6E-409C-BE32-E72D297353CC}">
              <c16:uniqueId val="{00000001-F269-494C-8990-B4B8C0026D66}"/>
            </c:ext>
          </c:extLst>
        </c:ser>
        <c:dLbls>
          <c:dLblPos val="bestFit"/>
          <c:showLegendKey val="0"/>
          <c:showVal val="1"/>
          <c:showCatName val="0"/>
          <c:showSerName val="0"/>
          <c:showPercent val="0"/>
          <c:showBubbleSize val="0"/>
          <c:showLeaderLines val="1"/>
        </c:dLbls>
      </c:pie3DChart>
      <c:spPr>
        <a:noFill/>
        <a:ln>
          <a:noFill/>
        </a:ln>
        <a:effectLst/>
      </c:spPr>
    </c:plotArea>
    <c:legend>
      <c:legendPos val="b"/>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layout>
        <c:manualLayout>
          <c:xMode val="edge"/>
          <c:yMode val="edge"/>
          <c:x val="0.16953727592561571"/>
          <c:y val="0.72114032869009237"/>
          <c:w val="0.83046272407438448"/>
          <c:h val="0.278859671309907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POAI 2022</a:t>
            </a:r>
          </a:p>
        </c:rich>
      </c:tx>
      <c:layout>
        <c:manualLayout>
          <c:xMode val="edge"/>
          <c:yMode val="edge"/>
          <c:x val="0.4629536013880618"/>
          <c:y val="1.8327603752396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'COSOLIDADO POAI'!$F$3</c:f>
              <c:strCache>
                <c:ptCount val="1"/>
                <c:pt idx="0">
                  <c:v>% LINEA SOBRE TOTAL PRESUPUESTO </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7C4-4F7B-AD5F-5EC48CEAC39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7C4-4F7B-AD5F-5EC48CEAC39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7C4-4F7B-AD5F-5EC48CEAC39D}"/>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7C4-4F7B-AD5F-5EC48CEAC39D}"/>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7C4-4F7B-AD5F-5EC48CEAC39D}"/>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97C4-4F7B-AD5F-5EC48CEAC39D}"/>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97C4-4F7B-AD5F-5EC48CEAC39D}"/>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97C4-4F7B-AD5F-5EC48CEAC39D}"/>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97C4-4F7B-AD5F-5EC48CEAC39D}"/>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97C4-4F7B-AD5F-5EC48CEAC39D}"/>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97C4-4F7B-AD5F-5EC48CEAC39D}"/>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97C4-4F7B-AD5F-5EC48CEAC39D}"/>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97C4-4F7B-AD5F-5EC48CEAC39D}"/>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97C4-4F7B-AD5F-5EC48CEAC39D}"/>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97C4-4F7B-AD5F-5EC48CEAC39D}"/>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97C4-4F7B-AD5F-5EC48CEAC39D}"/>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97C4-4F7B-AD5F-5EC48CEAC39D}"/>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97C4-4F7B-AD5F-5EC48CEAC39D}"/>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97C4-4F7B-AD5F-5EC48CEAC3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('COSOLIDADO POAI'!$A$4:$A$6,'COSOLIDADO POAI'!$A$7:$A$8,'COSOLIDADO POAI'!$A$9:$A$10,'COSOLIDADO POAI'!$A$11:$A$14,'COSOLIDADO POAI'!$A$15:$A$16,'COSOLIDADO POAI'!$A$17:$A$18,'COSOLIDADO POAI'!$A$19,'COSOLIDADO POAI'!$A$20:$A$22)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('COSOLIDADO POAI'!$F$4:$F$6,'COSOLIDADO POAI'!$F$7:$F$8,'COSOLIDADO POAI'!$F$9:$F$10,'COSOLIDADO POAI'!$F$11:$F$14,'COSOLIDADO POAI'!$F$15:$F$16,'COSOLIDADO POAI'!$F$17:$F$18,'COSOLIDADO POAI'!$F$19,'COSOLIDADO POAI'!$F$20:$F$22)</c:f>
              <c:numCache>
                <c:formatCode>0.0</c:formatCode>
                <c:ptCount val="19"/>
                <c:pt idx="0">
                  <c:v>0.56829669716346631</c:v>
                </c:pt>
                <c:pt idx="3">
                  <c:v>38.648366796818515</c:v>
                </c:pt>
                <c:pt idx="5">
                  <c:v>55.956997790120703</c:v>
                </c:pt>
                <c:pt idx="7">
                  <c:v>2.6586347569550774</c:v>
                </c:pt>
                <c:pt idx="11">
                  <c:v>0.2760621443189461</c:v>
                </c:pt>
                <c:pt idx="13">
                  <c:v>0.16344673076516164</c:v>
                </c:pt>
                <c:pt idx="15">
                  <c:v>0.25445683085110676</c:v>
                </c:pt>
                <c:pt idx="16">
                  <c:v>1.4737382530070262</c:v>
                </c:pt>
              </c:numCache>
            </c:numRef>
          </c:val>
          <c:extLst>
            <c:ext xmlns:c16="http://schemas.microsoft.com/office/drawing/2014/chart" uri="{C3380CC4-5D6E-409C-BE32-E72D297353CC}">
              <c16:uniqueId val="{00000026-97C4-4F7B-AD5F-5EC48CEAC39D}"/>
            </c:ext>
          </c:extLst>
        </c:ser>
        <c:dLbls>
          <c:dLblPos val="bestFit"/>
          <c:showLegendKey val="0"/>
          <c:showVal val="1"/>
          <c:showCatName val="0"/>
          <c:showSerName val="0"/>
          <c:showPercent val="0"/>
          <c:showBubbleSize val="0"/>
          <c:showLeaderLines val="1"/>
        </c:dLbls>
      </c:pie3DChart>
      <c:spPr>
        <a:noFill/>
        <a:ln>
          <a:noFill/>
        </a:ln>
        <a:effectLst/>
      </c:spPr>
    </c:plotArea>
    <c:legend>
      <c:legendPos val="b"/>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_xlchart.v1.0</cx:f>
      </cx:strDim>
      <cx:numDim type="val">
        <cx:f dir="row">_xlchart.v1.1</cx:f>
      </cx:numDim>
    </cx:data>
  </cx:chartData>
  <cx:chart>
    <cx:title pos="t" align="ctr" overlay="0">
      <cx:tx>
        <cx:txData>
          <cx:v>EJECUCIÓN TOTAL AÑO 2022 DEL POAI</cx:v>
        </cx:txData>
      </cx:tx>
      <cx:txPr>
        <a:bodyPr spcFirstLastPara="1" vertOverflow="ellipsis" horzOverflow="overflow" wrap="square" lIns="0" tIns="0" rIns="0" bIns="0" anchor="ctr" anchorCtr="1"/>
        <a:lstStyle/>
        <a:p>
          <a:pPr algn="ctr" rtl="0">
            <a:defRPr/>
          </a:pPr>
          <a:r>
            <a:rPr lang="es-ES" sz="1400" b="0" i="0" u="none" strike="noStrike" baseline="0">
              <a:solidFill>
                <a:sysClr val="windowText" lastClr="000000">
                  <a:lumMod val="65000"/>
                  <a:lumOff val="35000"/>
                </a:sysClr>
              </a:solidFill>
              <a:latin typeface="Calibri"/>
            </a:rPr>
            <a:t>EJECUCIÓN TOTAL AÑO 2022 DEL POAI</a:t>
          </a:r>
        </a:p>
      </cx:txPr>
    </cx:title>
    <cx:plotArea>
      <cx:plotAreaRegion>
        <cx:series layoutId="waterfall" uniqueId="{79E8E97B-8B03-4F7E-AC44-9EA6BFD818B6}">
          <cx:dataLabels pos="outEnd">
            <cx:visibility seriesName="0" categoryName="0" value="1"/>
          </cx:dataLabels>
          <cx:dataId val="0"/>
          <cx:layoutPr>
            <cx:subtotals/>
          </cx:layoutPr>
        </cx:series>
      </cx:plotAreaRegion>
      <cx:axis id="0">
        <cx:catScaling gapWidth="0.5"/>
        <cx:tickLabels/>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microsoft.com/office/2014/relationships/chartEx" Target="../charts/chartEx1.xml"/><Relationship Id="rId1" Type="http://schemas.openxmlformats.org/officeDocument/2006/relationships/chart" Target="../charts/chart28.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editAs="oneCell">
    <xdr:from>
      <xdr:col>0</xdr:col>
      <xdr:colOff>93908</xdr:colOff>
      <xdr:row>0</xdr:row>
      <xdr:rowOff>13416</xdr:rowOff>
    </xdr:from>
    <xdr:to>
      <xdr:col>0</xdr:col>
      <xdr:colOff>2067622</xdr:colOff>
      <xdr:row>2</xdr:row>
      <xdr:rowOff>214648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3908" y="13416"/>
          <a:ext cx="1973714" cy="9446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903270</xdr:colOff>
      <xdr:row>74</xdr:row>
      <xdr:rowOff>94609</xdr:rowOff>
    </xdr:from>
    <xdr:to>
      <xdr:col>20</xdr:col>
      <xdr:colOff>188360</xdr:colOff>
      <xdr:row>88</xdr:row>
      <xdr:rowOff>140842</xdr:rowOff>
    </xdr:to>
    <xdr:graphicFrame macro="">
      <xdr:nvGraphicFramePr>
        <xdr:cNvPr id="2" name="Gráfico 1">
          <a:extLst>
            <a:ext uri="{FF2B5EF4-FFF2-40B4-BE49-F238E27FC236}">
              <a16:creationId xmlns:a16="http://schemas.microsoft.com/office/drawing/2014/main" id="{284872D6-DB76-4684-9DCB-0B3C84FF4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378859</xdr:colOff>
      <xdr:row>75</xdr:row>
      <xdr:rowOff>105310</xdr:rowOff>
    </xdr:from>
    <xdr:to>
      <xdr:col>23</xdr:col>
      <xdr:colOff>562938</xdr:colOff>
      <xdr:row>89</xdr:row>
      <xdr:rowOff>151544</xdr:rowOff>
    </xdr:to>
    <xdr:graphicFrame macro="">
      <xdr:nvGraphicFramePr>
        <xdr:cNvPr id="3" name="Gráfico 2">
          <a:extLst>
            <a:ext uri="{FF2B5EF4-FFF2-40B4-BE49-F238E27FC236}">
              <a16:creationId xmlns:a16="http://schemas.microsoft.com/office/drawing/2014/main" id="{8CD0B126-9445-4D4C-89FD-D027ADDB12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1673831</xdr:colOff>
      <xdr:row>76</xdr:row>
      <xdr:rowOff>83906</xdr:rowOff>
    </xdr:from>
    <xdr:to>
      <xdr:col>34</xdr:col>
      <xdr:colOff>991027</xdr:colOff>
      <xdr:row>90</xdr:row>
      <xdr:rowOff>130139</xdr:rowOff>
    </xdr:to>
    <xdr:graphicFrame macro="">
      <xdr:nvGraphicFramePr>
        <xdr:cNvPr id="4" name="Gráfico 3">
          <a:extLst>
            <a:ext uri="{FF2B5EF4-FFF2-40B4-BE49-F238E27FC236}">
              <a16:creationId xmlns:a16="http://schemas.microsoft.com/office/drawing/2014/main" id="{ACB075AF-985C-4CB8-A3C3-44E82E6EBE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903270</xdr:colOff>
      <xdr:row>72</xdr:row>
      <xdr:rowOff>94609</xdr:rowOff>
    </xdr:from>
    <xdr:to>
      <xdr:col>20</xdr:col>
      <xdr:colOff>188360</xdr:colOff>
      <xdr:row>86</xdr:row>
      <xdr:rowOff>140842</xdr:rowOff>
    </xdr:to>
    <xdr:graphicFrame macro="">
      <xdr:nvGraphicFramePr>
        <xdr:cNvPr id="5" name="Gráfico 4">
          <a:extLst>
            <a:ext uri="{FF2B5EF4-FFF2-40B4-BE49-F238E27FC236}">
              <a16:creationId xmlns:a16="http://schemas.microsoft.com/office/drawing/2014/main" id="{5A67BA9C-0359-4FC7-BB55-B2F827BE4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378859</xdr:colOff>
      <xdr:row>73</xdr:row>
      <xdr:rowOff>105310</xdr:rowOff>
    </xdr:from>
    <xdr:to>
      <xdr:col>23</xdr:col>
      <xdr:colOff>562938</xdr:colOff>
      <xdr:row>87</xdr:row>
      <xdr:rowOff>151544</xdr:rowOff>
    </xdr:to>
    <xdr:graphicFrame macro="">
      <xdr:nvGraphicFramePr>
        <xdr:cNvPr id="6" name="Gráfico 5">
          <a:extLst>
            <a:ext uri="{FF2B5EF4-FFF2-40B4-BE49-F238E27FC236}">
              <a16:creationId xmlns:a16="http://schemas.microsoft.com/office/drawing/2014/main" id="{E7B06991-51F2-45D2-A0B2-D41400187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1673831</xdr:colOff>
      <xdr:row>74</xdr:row>
      <xdr:rowOff>83906</xdr:rowOff>
    </xdr:from>
    <xdr:to>
      <xdr:col>34</xdr:col>
      <xdr:colOff>991027</xdr:colOff>
      <xdr:row>88</xdr:row>
      <xdr:rowOff>130139</xdr:rowOff>
    </xdr:to>
    <xdr:graphicFrame macro="">
      <xdr:nvGraphicFramePr>
        <xdr:cNvPr id="7" name="Gráfico 6">
          <a:extLst>
            <a:ext uri="{FF2B5EF4-FFF2-40B4-BE49-F238E27FC236}">
              <a16:creationId xmlns:a16="http://schemas.microsoft.com/office/drawing/2014/main" id="{4770D8E3-C5A8-479C-81E9-61A7D152D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903270</xdr:colOff>
      <xdr:row>72</xdr:row>
      <xdr:rowOff>94609</xdr:rowOff>
    </xdr:from>
    <xdr:to>
      <xdr:col>20</xdr:col>
      <xdr:colOff>188360</xdr:colOff>
      <xdr:row>86</xdr:row>
      <xdr:rowOff>140842</xdr:rowOff>
    </xdr:to>
    <xdr:graphicFrame macro="">
      <xdr:nvGraphicFramePr>
        <xdr:cNvPr id="8" name="Gráfico 7">
          <a:extLst>
            <a:ext uri="{FF2B5EF4-FFF2-40B4-BE49-F238E27FC236}">
              <a16:creationId xmlns:a16="http://schemas.microsoft.com/office/drawing/2014/main" id="{12CB6E35-3274-43C3-B837-A7E3C4B08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378859</xdr:colOff>
      <xdr:row>73</xdr:row>
      <xdr:rowOff>105310</xdr:rowOff>
    </xdr:from>
    <xdr:to>
      <xdr:col>23</xdr:col>
      <xdr:colOff>562938</xdr:colOff>
      <xdr:row>87</xdr:row>
      <xdr:rowOff>151544</xdr:rowOff>
    </xdr:to>
    <xdr:graphicFrame macro="">
      <xdr:nvGraphicFramePr>
        <xdr:cNvPr id="9" name="Gráfico 8">
          <a:extLst>
            <a:ext uri="{FF2B5EF4-FFF2-40B4-BE49-F238E27FC236}">
              <a16:creationId xmlns:a16="http://schemas.microsoft.com/office/drawing/2014/main" id="{EA933428-2F0F-460E-B4A2-E8550824B2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xdr:col>
      <xdr:colOff>1673831</xdr:colOff>
      <xdr:row>74</xdr:row>
      <xdr:rowOff>83906</xdr:rowOff>
    </xdr:from>
    <xdr:to>
      <xdr:col>34</xdr:col>
      <xdr:colOff>991027</xdr:colOff>
      <xdr:row>88</xdr:row>
      <xdr:rowOff>130139</xdr:rowOff>
    </xdr:to>
    <xdr:graphicFrame macro="">
      <xdr:nvGraphicFramePr>
        <xdr:cNvPr id="10" name="Gráfico 9">
          <a:extLst>
            <a:ext uri="{FF2B5EF4-FFF2-40B4-BE49-F238E27FC236}">
              <a16:creationId xmlns:a16="http://schemas.microsoft.com/office/drawing/2014/main" id="{8146F71A-3C5E-4BA7-823E-52817553A8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903270</xdr:colOff>
      <xdr:row>72</xdr:row>
      <xdr:rowOff>94609</xdr:rowOff>
    </xdr:from>
    <xdr:to>
      <xdr:col>20</xdr:col>
      <xdr:colOff>188360</xdr:colOff>
      <xdr:row>86</xdr:row>
      <xdr:rowOff>140842</xdr:rowOff>
    </xdr:to>
    <xdr:graphicFrame macro="">
      <xdr:nvGraphicFramePr>
        <xdr:cNvPr id="11" name="Gráfico 10">
          <a:extLst>
            <a:ext uri="{FF2B5EF4-FFF2-40B4-BE49-F238E27FC236}">
              <a16:creationId xmlns:a16="http://schemas.microsoft.com/office/drawing/2014/main" id="{6ECC3B6E-5EDE-4E30-83C8-8C6506950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xdr:col>
      <xdr:colOff>378859</xdr:colOff>
      <xdr:row>73</xdr:row>
      <xdr:rowOff>105310</xdr:rowOff>
    </xdr:from>
    <xdr:to>
      <xdr:col>23</xdr:col>
      <xdr:colOff>562938</xdr:colOff>
      <xdr:row>87</xdr:row>
      <xdr:rowOff>151544</xdr:rowOff>
    </xdr:to>
    <xdr:graphicFrame macro="">
      <xdr:nvGraphicFramePr>
        <xdr:cNvPr id="12" name="Gráfico 11">
          <a:extLst>
            <a:ext uri="{FF2B5EF4-FFF2-40B4-BE49-F238E27FC236}">
              <a16:creationId xmlns:a16="http://schemas.microsoft.com/office/drawing/2014/main" id="{18ED25CA-838C-4EE7-A296-AB11E7B64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1673831</xdr:colOff>
      <xdr:row>74</xdr:row>
      <xdr:rowOff>83906</xdr:rowOff>
    </xdr:from>
    <xdr:to>
      <xdr:col>34</xdr:col>
      <xdr:colOff>991027</xdr:colOff>
      <xdr:row>88</xdr:row>
      <xdr:rowOff>130139</xdr:rowOff>
    </xdr:to>
    <xdr:graphicFrame macro="">
      <xdr:nvGraphicFramePr>
        <xdr:cNvPr id="13" name="Gráfico 12">
          <a:extLst>
            <a:ext uri="{FF2B5EF4-FFF2-40B4-BE49-F238E27FC236}">
              <a16:creationId xmlns:a16="http://schemas.microsoft.com/office/drawing/2014/main" id="{52CD8E2C-7A50-45B9-B1EC-D41330AA2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209549</xdr:colOff>
      <xdr:row>1</xdr:row>
      <xdr:rowOff>76200</xdr:rowOff>
    </xdr:from>
    <xdr:to>
      <xdr:col>20</xdr:col>
      <xdr:colOff>276224</xdr:colOff>
      <xdr:row>16</xdr:row>
      <xdr:rowOff>76200</xdr:rowOff>
    </xdr:to>
    <xdr:graphicFrame macro="">
      <xdr:nvGraphicFramePr>
        <xdr:cNvPr id="2" name="Gráfico 1">
          <a:extLst>
            <a:ext uri="{FF2B5EF4-FFF2-40B4-BE49-F238E27FC236}">
              <a16:creationId xmlns:a16="http://schemas.microsoft.com/office/drawing/2014/main" id="{2041CC10-32FE-4B48-BE13-66084267A8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247649</xdr:colOff>
      <xdr:row>16</xdr:row>
      <xdr:rowOff>223836</xdr:rowOff>
    </xdr:from>
    <xdr:to>
      <xdr:col>22</xdr:col>
      <xdr:colOff>238124</xdr:colOff>
      <xdr:row>37</xdr:row>
      <xdr:rowOff>47624</xdr:rowOff>
    </xdr:to>
    <xdr:graphicFrame macro="">
      <xdr:nvGraphicFramePr>
        <xdr:cNvPr id="3" name="Gráfico 2">
          <a:extLst>
            <a:ext uri="{FF2B5EF4-FFF2-40B4-BE49-F238E27FC236}">
              <a16:creationId xmlns:a16="http://schemas.microsoft.com/office/drawing/2014/main" id="{0D1818B5-5618-4CC2-BCEC-930CB4EEF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1462085</xdr:colOff>
      <xdr:row>26</xdr:row>
      <xdr:rowOff>85724</xdr:rowOff>
    </xdr:from>
    <xdr:to>
      <xdr:col>6</xdr:col>
      <xdr:colOff>895349</xdr:colOff>
      <xdr:row>55</xdr:row>
      <xdr:rowOff>57150</xdr:rowOff>
    </xdr:to>
    <xdr:graphicFrame macro="">
      <xdr:nvGraphicFramePr>
        <xdr:cNvPr id="4" name="Gráfico 3">
          <a:extLst>
            <a:ext uri="{FF2B5EF4-FFF2-40B4-BE49-F238E27FC236}">
              <a16:creationId xmlns:a16="http://schemas.microsoft.com/office/drawing/2014/main" id="{256B5F62-EB6B-37BC-BAD5-74E5334D69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50</xdr:row>
      <xdr:rowOff>0</xdr:rowOff>
    </xdr:from>
    <xdr:to>
      <xdr:col>5</xdr:col>
      <xdr:colOff>675251</xdr:colOff>
      <xdr:row>63</xdr:row>
      <xdr:rowOff>174522</xdr:rowOff>
    </xdr:to>
    <xdr:graphicFrame macro="">
      <xdr:nvGraphicFramePr>
        <xdr:cNvPr id="2" name="Gráfico 1">
          <a:extLst>
            <a:ext uri="{FF2B5EF4-FFF2-40B4-BE49-F238E27FC236}">
              <a16:creationId xmlns:a16="http://schemas.microsoft.com/office/drawing/2014/main" id="{773B6501-6F8F-46CF-8FD0-DC7E781E98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51</xdr:row>
      <xdr:rowOff>0</xdr:rowOff>
    </xdr:from>
    <xdr:to>
      <xdr:col>14</xdr:col>
      <xdr:colOff>938571</xdr:colOff>
      <xdr:row>64</xdr:row>
      <xdr:rowOff>174522</xdr:rowOff>
    </xdr:to>
    <xdr:graphicFrame macro="">
      <xdr:nvGraphicFramePr>
        <xdr:cNvPr id="3" name="Gráfico 2">
          <a:extLst>
            <a:ext uri="{FF2B5EF4-FFF2-40B4-BE49-F238E27FC236}">
              <a16:creationId xmlns:a16="http://schemas.microsoft.com/office/drawing/2014/main" id="{E6BD15F5-F79A-49EC-9440-5D6700317D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161925</xdr:rowOff>
    </xdr:from>
    <xdr:to>
      <xdr:col>0</xdr:col>
      <xdr:colOff>1552575</xdr:colOff>
      <xdr:row>4</xdr:row>
      <xdr:rowOff>71621</xdr:rowOff>
    </xdr:to>
    <xdr:pic>
      <xdr:nvPicPr>
        <xdr:cNvPr id="2" name="Imagen 1">
          <a:extLst>
            <a:ext uri="{FF2B5EF4-FFF2-40B4-BE49-F238E27FC236}">
              <a16:creationId xmlns:a16="http://schemas.microsoft.com/office/drawing/2014/main" id="{E5E1F089-0512-470F-925D-945E2C2C9083}"/>
            </a:ext>
          </a:extLst>
        </xdr:cNvPr>
        <xdr:cNvPicPr>
          <a:picLocks noChangeAspect="1"/>
        </xdr:cNvPicPr>
      </xdr:nvPicPr>
      <xdr:blipFill>
        <a:blip xmlns:r="http://schemas.openxmlformats.org/officeDocument/2006/relationships" r:embed="rId1"/>
        <a:stretch>
          <a:fillRect/>
        </a:stretch>
      </xdr:blipFill>
      <xdr:spPr>
        <a:xfrm>
          <a:off x="38100" y="161925"/>
          <a:ext cx="1514475" cy="6716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638174</xdr:colOff>
      <xdr:row>7</xdr:row>
      <xdr:rowOff>61910</xdr:rowOff>
    </xdr:from>
    <xdr:to>
      <xdr:col>5</xdr:col>
      <xdr:colOff>85725</xdr:colOff>
      <xdr:row>36</xdr:row>
      <xdr:rowOff>19049</xdr:rowOff>
    </xdr:to>
    <xdr:graphicFrame macro="">
      <xdr:nvGraphicFramePr>
        <xdr:cNvPr id="5" name="Gráfico 4">
          <a:extLst>
            <a:ext uri="{FF2B5EF4-FFF2-40B4-BE49-F238E27FC236}">
              <a16:creationId xmlns:a16="http://schemas.microsoft.com/office/drawing/2014/main" id="{44D53D63-F991-5634-007F-C03F6B5F03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1066799</xdr:colOff>
      <xdr:row>6</xdr:row>
      <xdr:rowOff>157161</xdr:rowOff>
    </xdr:from>
    <xdr:to>
      <xdr:col>15</xdr:col>
      <xdr:colOff>247649</xdr:colOff>
      <xdr:row>23</xdr:row>
      <xdr:rowOff>180975</xdr:rowOff>
    </xdr:to>
    <xdr:graphicFrame macro="">
      <xdr:nvGraphicFramePr>
        <xdr:cNvPr id="9" name="Gráfico 8">
          <a:extLst>
            <a:ext uri="{FF2B5EF4-FFF2-40B4-BE49-F238E27FC236}">
              <a16:creationId xmlns:a16="http://schemas.microsoft.com/office/drawing/2014/main" id="{3E444FC3-EEF9-27C6-17D3-51564AC42C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247650</xdr:colOff>
      <xdr:row>0</xdr:row>
      <xdr:rowOff>109537</xdr:rowOff>
    </xdr:from>
    <xdr:to>
      <xdr:col>4</xdr:col>
      <xdr:colOff>190500</xdr:colOff>
      <xdr:row>14</xdr:row>
      <xdr:rowOff>185737</xdr:rowOff>
    </xdr:to>
    <xdr:graphicFrame macro="">
      <xdr:nvGraphicFramePr>
        <xdr:cNvPr id="3" name="Gráfico 2">
          <a:extLst>
            <a:ext uri="{FF2B5EF4-FFF2-40B4-BE49-F238E27FC236}">
              <a16:creationId xmlns:a16="http://schemas.microsoft.com/office/drawing/2014/main" id="{CFE19D76-51BF-8715-DD0B-4A9A0B3072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938212</xdr:colOff>
      <xdr:row>0</xdr:row>
      <xdr:rowOff>128587</xdr:rowOff>
    </xdr:from>
    <xdr:to>
      <xdr:col>8</xdr:col>
      <xdr:colOff>452437</xdr:colOff>
      <xdr:row>15</xdr:row>
      <xdr:rowOff>14287</xdr:rowOff>
    </xdr:to>
    <xdr:graphicFrame macro="">
      <xdr:nvGraphicFramePr>
        <xdr:cNvPr id="4" name="Gráfico 3">
          <a:extLst>
            <a:ext uri="{FF2B5EF4-FFF2-40B4-BE49-F238E27FC236}">
              <a16:creationId xmlns:a16="http://schemas.microsoft.com/office/drawing/2014/main" id="{FD8B820B-373B-EF31-7205-8898F08749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671512</xdr:colOff>
      <xdr:row>0</xdr:row>
      <xdr:rowOff>52387</xdr:rowOff>
    </xdr:from>
    <xdr:to>
      <xdr:col>12</xdr:col>
      <xdr:colOff>776287</xdr:colOff>
      <xdr:row>14</xdr:row>
      <xdr:rowOff>128587</xdr:rowOff>
    </xdr:to>
    <xdr:graphicFrame macro="">
      <xdr:nvGraphicFramePr>
        <xdr:cNvPr id="5" name="Gráfico 4">
          <a:extLst>
            <a:ext uri="{FF2B5EF4-FFF2-40B4-BE49-F238E27FC236}">
              <a16:creationId xmlns:a16="http://schemas.microsoft.com/office/drawing/2014/main" id="{40051300-AC6F-782E-B75D-7689C616CE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247650</xdr:colOff>
      <xdr:row>0</xdr:row>
      <xdr:rowOff>109537</xdr:rowOff>
    </xdr:from>
    <xdr:to>
      <xdr:col>4</xdr:col>
      <xdr:colOff>190500</xdr:colOff>
      <xdr:row>14</xdr:row>
      <xdr:rowOff>185737</xdr:rowOff>
    </xdr:to>
    <xdr:graphicFrame macro="">
      <xdr:nvGraphicFramePr>
        <xdr:cNvPr id="2" name="Gráfico 1">
          <a:extLst>
            <a:ext uri="{FF2B5EF4-FFF2-40B4-BE49-F238E27FC236}">
              <a16:creationId xmlns:a16="http://schemas.microsoft.com/office/drawing/2014/main" id="{8FFC54A7-BC4C-41C4-9C1C-77C05914A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938212</xdr:colOff>
      <xdr:row>0</xdr:row>
      <xdr:rowOff>128587</xdr:rowOff>
    </xdr:from>
    <xdr:to>
      <xdr:col>8</xdr:col>
      <xdr:colOff>452437</xdr:colOff>
      <xdr:row>15</xdr:row>
      <xdr:rowOff>14287</xdr:rowOff>
    </xdr:to>
    <xdr:graphicFrame macro="">
      <xdr:nvGraphicFramePr>
        <xdr:cNvPr id="3" name="Gráfico 2">
          <a:extLst>
            <a:ext uri="{FF2B5EF4-FFF2-40B4-BE49-F238E27FC236}">
              <a16:creationId xmlns:a16="http://schemas.microsoft.com/office/drawing/2014/main" id="{5B47C7B7-278A-4A72-9F68-F511869F8B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762000</xdr:colOff>
      <xdr:row>0</xdr:row>
      <xdr:rowOff>128587</xdr:rowOff>
    </xdr:from>
    <xdr:to>
      <xdr:col>12</xdr:col>
      <xdr:colOff>866775</xdr:colOff>
      <xdr:row>15</xdr:row>
      <xdr:rowOff>14287</xdr:rowOff>
    </xdr:to>
    <xdr:graphicFrame macro="">
      <xdr:nvGraphicFramePr>
        <xdr:cNvPr id="5" name="Gráfico 4">
          <a:extLst>
            <a:ext uri="{FF2B5EF4-FFF2-40B4-BE49-F238E27FC236}">
              <a16:creationId xmlns:a16="http://schemas.microsoft.com/office/drawing/2014/main" id="{9ECA69A2-2131-391D-D5A6-2ABB271B86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14287</xdr:colOff>
      <xdr:row>21</xdr:row>
      <xdr:rowOff>4762</xdr:rowOff>
    </xdr:from>
    <xdr:to>
      <xdr:col>10</xdr:col>
      <xdr:colOff>1033462</xdr:colOff>
      <xdr:row>37</xdr:row>
      <xdr:rowOff>80962</xdr:rowOff>
    </xdr:to>
    <xdr:graphicFrame macro="">
      <xdr:nvGraphicFramePr>
        <xdr:cNvPr id="6" name="Gráfico 5">
          <a:extLst>
            <a:ext uri="{FF2B5EF4-FFF2-40B4-BE49-F238E27FC236}">
              <a16:creationId xmlns:a16="http://schemas.microsoft.com/office/drawing/2014/main" id="{6DED1050-8ABA-A8DB-D905-A2C4138D00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176212</xdr:colOff>
      <xdr:row>21</xdr:row>
      <xdr:rowOff>14287</xdr:rowOff>
    </xdr:from>
    <xdr:to>
      <xdr:col>15</xdr:col>
      <xdr:colOff>28575</xdr:colOff>
      <xdr:row>37</xdr:row>
      <xdr:rowOff>90487</xdr:rowOff>
    </xdr:to>
    <xdr:graphicFrame macro="">
      <xdr:nvGraphicFramePr>
        <xdr:cNvPr id="9" name="Gráfico 8">
          <a:extLst>
            <a:ext uri="{FF2B5EF4-FFF2-40B4-BE49-F238E27FC236}">
              <a16:creationId xmlns:a16="http://schemas.microsoft.com/office/drawing/2014/main" id="{2D1B6EC9-DEB8-2C73-4069-7F160F0AC2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0</xdr:row>
      <xdr:rowOff>138112</xdr:rowOff>
    </xdr:from>
    <xdr:to>
      <xdr:col>17</xdr:col>
      <xdr:colOff>600075</xdr:colOff>
      <xdr:row>15</xdr:row>
      <xdr:rowOff>23812</xdr:rowOff>
    </xdr:to>
    <xdr:graphicFrame macro="">
      <xdr:nvGraphicFramePr>
        <xdr:cNvPr id="7" name="Gráfico 6">
          <a:extLst>
            <a:ext uri="{FF2B5EF4-FFF2-40B4-BE49-F238E27FC236}">
              <a16:creationId xmlns:a16="http://schemas.microsoft.com/office/drawing/2014/main" id="{88BFBB93-C707-9A3C-D5D9-460A760FCD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538162</xdr:colOff>
      <xdr:row>19</xdr:row>
      <xdr:rowOff>147637</xdr:rowOff>
    </xdr:from>
    <xdr:to>
      <xdr:col>15</xdr:col>
      <xdr:colOff>547687</xdr:colOff>
      <xdr:row>36</xdr:row>
      <xdr:rowOff>33337</xdr:rowOff>
    </xdr:to>
    <mc:AlternateContent xmlns:mc="http://schemas.openxmlformats.org/markup-compatibility/2006">
      <mc:Choice xmlns:cx1="http://schemas.microsoft.com/office/drawing/2015/9/8/chartex" Requires="cx1">
        <xdr:graphicFrame macro="">
          <xdr:nvGraphicFramePr>
            <xdr:cNvPr id="9" name="Gráfico 8">
              <a:extLst>
                <a:ext uri="{FF2B5EF4-FFF2-40B4-BE49-F238E27FC236}">
                  <a16:creationId xmlns:a16="http://schemas.microsoft.com/office/drawing/2014/main" id="{FD3EC92D-DC05-457F-CCA7-9591EAEFD53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3977937" y="4862512"/>
              <a:ext cx="4572000" cy="2743200"/>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0</xdr:col>
      <xdr:colOff>333375</xdr:colOff>
      <xdr:row>0</xdr:row>
      <xdr:rowOff>157162</xdr:rowOff>
    </xdr:from>
    <xdr:to>
      <xdr:col>4</xdr:col>
      <xdr:colOff>276225</xdr:colOff>
      <xdr:row>15</xdr:row>
      <xdr:rowOff>42862</xdr:rowOff>
    </xdr:to>
    <xdr:graphicFrame macro="">
      <xdr:nvGraphicFramePr>
        <xdr:cNvPr id="5" name="Gráfico 4">
          <a:extLst>
            <a:ext uri="{FF2B5EF4-FFF2-40B4-BE49-F238E27FC236}">
              <a16:creationId xmlns:a16="http://schemas.microsoft.com/office/drawing/2014/main" id="{8A262270-59B3-4C6B-A26A-A158F44BFA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485775</xdr:colOff>
      <xdr:row>21</xdr:row>
      <xdr:rowOff>128587</xdr:rowOff>
    </xdr:from>
    <xdr:to>
      <xdr:col>24</xdr:col>
      <xdr:colOff>457200</xdr:colOff>
      <xdr:row>39</xdr:row>
      <xdr:rowOff>161925</xdr:rowOff>
    </xdr:to>
    <xdr:graphicFrame macro="">
      <xdr:nvGraphicFramePr>
        <xdr:cNvPr id="6" name="Gráfico 5">
          <a:extLst>
            <a:ext uri="{FF2B5EF4-FFF2-40B4-BE49-F238E27FC236}">
              <a16:creationId xmlns:a16="http://schemas.microsoft.com/office/drawing/2014/main" id="{82698CE4-8D41-47D2-B428-85480BE0F1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47625</xdr:colOff>
      <xdr:row>21</xdr:row>
      <xdr:rowOff>90487</xdr:rowOff>
    </xdr:from>
    <xdr:to>
      <xdr:col>15</xdr:col>
      <xdr:colOff>57150</xdr:colOff>
      <xdr:row>37</xdr:row>
      <xdr:rowOff>166687</xdr:rowOff>
    </xdr:to>
    <xdr:graphicFrame macro="">
      <xdr:nvGraphicFramePr>
        <xdr:cNvPr id="10" name="Gráfico 9">
          <a:extLst>
            <a:ext uri="{FF2B5EF4-FFF2-40B4-BE49-F238E27FC236}">
              <a16:creationId xmlns:a16="http://schemas.microsoft.com/office/drawing/2014/main" id="{6FAFA02C-F5E9-42E7-B45F-F2FA6DFE5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647700</xdr:colOff>
      <xdr:row>24</xdr:row>
      <xdr:rowOff>128587</xdr:rowOff>
    </xdr:from>
    <xdr:to>
      <xdr:col>10</xdr:col>
      <xdr:colOff>504825</xdr:colOff>
      <xdr:row>40</xdr:row>
      <xdr:rowOff>14287</xdr:rowOff>
    </xdr:to>
    <xdr:graphicFrame macro="">
      <xdr:nvGraphicFramePr>
        <xdr:cNvPr id="11" name="Gráfico 10">
          <a:extLst>
            <a:ext uri="{FF2B5EF4-FFF2-40B4-BE49-F238E27FC236}">
              <a16:creationId xmlns:a16="http://schemas.microsoft.com/office/drawing/2014/main" id="{625A90C2-8DD7-45C9-ADA4-6E2A23A14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180975</xdr:colOff>
      <xdr:row>0</xdr:row>
      <xdr:rowOff>52387</xdr:rowOff>
    </xdr:from>
    <xdr:to>
      <xdr:col>19</xdr:col>
      <xdr:colOff>57150</xdr:colOff>
      <xdr:row>14</xdr:row>
      <xdr:rowOff>128587</xdr:rowOff>
    </xdr:to>
    <xdr:graphicFrame macro="">
      <xdr:nvGraphicFramePr>
        <xdr:cNvPr id="12" name="Gráfico 11">
          <a:extLst>
            <a:ext uri="{FF2B5EF4-FFF2-40B4-BE49-F238E27FC236}">
              <a16:creationId xmlns:a16="http://schemas.microsoft.com/office/drawing/2014/main" id="{41ACE21A-B59F-4D0B-BA16-CCADFAEBB9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342900</xdr:colOff>
      <xdr:row>0</xdr:row>
      <xdr:rowOff>147637</xdr:rowOff>
    </xdr:from>
    <xdr:to>
      <xdr:col>13</xdr:col>
      <xdr:colOff>542925</xdr:colOff>
      <xdr:row>15</xdr:row>
      <xdr:rowOff>33337</xdr:rowOff>
    </xdr:to>
    <xdr:graphicFrame macro="">
      <xdr:nvGraphicFramePr>
        <xdr:cNvPr id="13" name="Gráfico 12">
          <a:extLst>
            <a:ext uri="{FF2B5EF4-FFF2-40B4-BE49-F238E27FC236}">
              <a16:creationId xmlns:a16="http://schemas.microsoft.com/office/drawing/2014/main" id="{75FF4F4B-3236-41BF-8F67-B9D17CD64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271462</xdr:colOff>
      <xdr:row>0</xdr:row>
      <xdr:rowOff>138112</xdr:rowOff>
    </xdr:from>
    <xdr:to>
      <xdr:col>8</xdr:col>
      <xdr:colOff>957262</xdr:colOff>
      <xdr:row>15</xdr:row>
      <xdr:rowOff>23812</xdr:rowOff>
    </xdr:to>
    <xdr:graphicFrame macro="">
      <xdr:nvGraphicFramePr>
        <xdr:cNvPr id="14" name="Gráfico 13">
          <a:extLst>
            <a:ext uri="{FF2B5EF4-FFF2-40B4-BE49-F238E27FC236}">
              <a16:creationId xmlns:a16="http://schemas.microsoft.com/office/drawing/2014/main" id="{A33EAD6B-285B-4581-8BE2-729E2DED54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238124</xdr:rowOff>
    </xdr:to>
    <xdr:pic>
      <xdr:nvPicPr>
        <xdr:cNvPr id="4" name="Imagen 3">
          <a:extLst>
            <a:ext uri="{FF2B5EF4-FFF2-40B4-BE49-F238E27FC236}">
              <a16:creationId xmlns:a16="http://schemas.microsoft.com/office/drawing/2014/main" id="{E09BA514-E9FC-45A7-83D9-8A951F9403B9}"/>
            </a:ext>
          </a:extLst>
        </xdr:cNvPr>
        <xdr:cNvPicPr>
          <a:picLocks noChangeAspect="1"/>
        </xdr:cNvPicPr>
      </xdr:nvPicPr>
      <xdr:blipFill>
        <a:blip xmlns:r="http://schemas.openxmlformats.org/officeDocument/2006/relationships" r:embed="rId1" cstate="print"/>
        <a:stretch>
          <a:fillRect/>
        </a:stretch>
      </xdr:blipFill>
      <xdr:spPr>
        <a:xfrm>
          <a:off x="0" y="0"/>
          <a:ext cx="2057400" cy="9810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1</xdr:row>
      <xdr:rowOff>552449</xdr:rowOff>
    </xdr:to>
    <xdr:pic>
      <xdr:nvPicPr>
        <xdr:cNvPr id="3" name="Imagen 2">
          <a:extLst>
            <a:ext uri="{FF2B5EF4-FFF2-40B4-BE49-F238E27FC236}">
              <a16:creationId xmlns:a16="http://schemas.microsoft.com/office/drawing/2014/main" id="{BA2B1481-560A-465D-B9DC-85D93A6883B9}"/>
            </a:ext>
          </a:extLst>
        </xdr:cNvPr>
        <xdr:cNvPicPr>
          <a:picLocks noChangeAspect="1"/>
        </xdr:cNvPicPr>
      </xdr:nvPicPr>
      <xdr:blipFill>
        <a:blip xmlns:r="http://schemas.openxmlformats.org/officeDocument/2006/relationships" r:embed="rId1" cstate="print"/>
        <a:stretch>
          <a:fillRect/>
        </a:stretch>
      </xdr:blipFill>
      <xdr:spPr>
        <a:xfrm>
          <a:off x="0" y="0"/>
          <a:ext cx="2057400" cy="94297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2314574</xdr:colOff>
      <xdr:row>3</xdr:row>
      <xdr:rowOff>0</xdr:rowOff>
    </xdr:to>
    <xdr:pic>
      <xdr:nvPicPr>
        <xdr:cNvPr id="2" name="Imagen 1">
          <a:extLst>
            <a:ext uri="{FF2B5EF4-FFF2-40B4-BE49-F238E27FC236}">
              <a16:creationId xmlns:a16="http://schemas.microsoft.com/office/drawing/2014/main" id="{4B54D88F-228D-45BB-B08A-AAA9FD06172F}"/>
            </a:ext>
          </a:extLst>
        </xdr:cNvPr>
        <xdr:cNvPicPr>
          <a:picLocks noChangeAspect="1"/>
        </xdr:cNvPicPr>
      </xdr:nvPicPr>
      <xdr:blipFill>
        <a:blip xmlns:r="http://schemas.openxmlformats.org/officeDocument/2006/relationships" r:embed="rId1" cstate="print"/>
        <a:stretch>
          <a:fillRect/>
        </a:stretch>
      </xdr:blipFill>
      <xdr:spPr>
        <a:xfrm>
          <a:off x="0" y="0"/>
          <a:ext cx="2314574" cy="1066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225826</xdr:rowOff>
    </xdr:from>
    <xdr:to>
      <xdr:col>0</xdr:col>
      <xdr:colOff>981310</xdr:colOff>
      <xdr:row>2</xdr:row>
      <xdr:rowOff>177252</xdr:rowOff>
    </xdr:to>
    <xdr:pic>
      <xdr:nvPicPr>
        <xdr:cNvPr id="2" name="Imagen 1">
          <a:extLst>
            <a:ext uri="{FF2B5EF4-FFF2-40B4-BE49-F238E27FC236}">
              <a16:creationId xmlns:a16="http://schemas.microsoft.com/office/drawing/2014/main" id="{6A91D4A2-7000-4E4A-8507-C9B6D3DEF0B7}"/>
            </a:ext>
          </a:extLst>
        </xdr:cNvPr>
        <xdr:cNvPicPr>
          <a:picLocks noChangeAspect="1"/>
        </xdr:cNvPicPr>
      </xdr:nvPicPr>
      <xdr:blipFill>
        <a:blip xmlns:r="http://schemas.openxmlformats.org/officeDocument/2006/relationships" r:embed="rId1" cstate="print"/>
        <a:stretch>
          <a:fillRect/>
        </a:stretch>
      </xdr:blipFill>
      <xdr:spPr>
        <a:xfrm>
          <a:off x="0" y="225826"/>
          <a:ext cx="981310" cy="370526"/>
        </a:xfrm>
        <a:prstGeom prst="rect">
          <a:avLst/>
        </a:prstGeom>
      </xdr:spPr>
    </xdr:pic>
    <xdr:clientData/>
  </xdr:twoCellAnchor>
  <xdr:twoCellAnchor editAs="oneCell">
    <xdr:from>
      <xdr:col>0</xdr:col>
      <xdr:colOff>0</xdr:colOff>
      <xdr:row>0</xdr:row>
      <xdr:rowOff>103429</xdr:rowOff>
    </xdr:from>
    <xdr:to>
      <xdr:col>0</xdr:col>
      <xdr:colOff>1962263</xdr:colOff>
      <xdr:row>3</xdr:row>
      <xdr:rowOff>0</xdr:rowOff>
    </xdr:to>
    <xdr:pic>
      <xdr:nvPicPr>
        <xdr:cNvPr id="3" name="Imagen 2">
          <a:extLst>
            <a:ext uri="{FF2B5EF4-FFF2-40B4-BE49-F238E27FC236}">
              <a16:creationId xmlns:a16="http://schemas.microsoft.com/office/drawing/2014/main" id="{8A146DA9-687A-42B4-8418-3AB53920A26C}"/>
            </a:ext>
          </a:extLst>
        </xdr:cNvPr>
        <xdr:cNvPicPr>
          <a:picLocks noChangeAspect="1"/>
        </xdr:cNvPicPr>
      </xdr:nvPicPr>
      <xdr:blipFill>
        <a:blip xmlns:r="http://schemas.openxmlformats.org/officeDocument/2006/relationships" r:embed="rId1" cstate="print"/>
        <a:stretch>
          <a:fillRect/>
        </a:stretch>
      </xdr:blipFill>
      <xdr:spPr>
        <a:xfrm>
          <a:off x="0" y="103429"/>
          <a:ext cx="1962263" cy="9633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2105025</xdr:colOff>
      <xdr:row>2</xdr:row>
      <xdr:rowOff>304800</xdr:rowOff>
    </xdr:to>
    <xdr:pic>
      <xdr:nvPicPr>
        <xdr:cNvPr id="2" name="Imagen 1">
          <a:extLst>
            <a:ext uri="{FF2B5EF4-FFF2-40B4-BE49-F238E27FC236}">
              <a16:creationId xmlns:a16="http://schemas.microsoft.com/office/drawing/2014/main" id="{59012FE9-1B8A-41F0-B713-3FFBEBFF4D65}"/>
            </a:ext>
          </a:extLst>
        </xdr:cNvPr>
        <xdr:cNvPicPr>
          <a:picLocks noChangeAspect="1"/>
        </xdr:cNvPicPr>
      </xdr:nvPicPr>
      <xdr:blipFill>
        <a:blip xmlns:r="http://schemas.openxmlformats.org/officeDocument/2006/relationships" r:embed="rId1" cstate="print"/>
        <a:stretch>
          <a:fillRect/>
        </a:stretch>
      </xdr:blipFill>
      <xdr:spPr>
        <a:xfrm>
          <a:off x="0" y="0"/>
          <a:ext cx="2105025" cy="10477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xdr:colOff>
      <xdr:row>3</xdr:row>
      <xdr:rowOff>2459</xdr:rowOff>
    </xdr:to>
    <xdr:pic>
      <xdr:nvPicPr>
        <xdr:cNvPr id="2" name="Imagen 1">
          <a:extLst>
            <a:ext uri="{FF2B5EF4-FFF2-40B4-BE49-F238E27FC236}">
              <a16:creationId xmlns:a16="http://schemas.microsoft.com/office/drawing/2014/main" id="{625B6F21-AD66-45D2-8951-E2BACB220826}"/>
            </a:ext>
          </a:extLst>
        </xdr:cNvPr>
        <xdr:cNvPicPr>
          <a:picLocks noChangeAspect="1"/>
        </xdr:cNvPicPr>
      </xdr:nvPicPr>
      <xdr:blipFill>
        <a:blip xmlns:r="http://schemas.openxmlformats.org/officeDocument/2006/relationships" r:embed="rId1" cstate="print"/>
        <a:stretch>
          <a:fillRect/>
        </a:stretch>
      </xdr:blipFill>
      <xdr:spPr>
        <a:xfrm>
          <a:off x="0" y="0"/>
          <a:ext cx="1762126" cy="106290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2057400</xdr:colOff>
      <xdr:row>1</xdr:row>
      <xdr:rowOff>190500</xdr:rowOff>
    </xdr:to>
    <xdr:pic>
      <xdr:nvPicPr>
        <xdr:cNvPr id="2" name="Imagen 1">
          <a:extLst>
            <a:ext uri="{FF2B5EF4-FFF2-40B4-BE49-F238E27FC236}">
              <a16:creationId xmlns:a16="http://schemas.microsoft.com/office/drawing/2014/main" id="{478796DF-20C9-426A-A127-682BA8369D22}"/>
            </a:ext>
          </a:extLst>
        </xdr:cNvPr>
        <xdr:cNvPicPr>
          <a:picLocks noChangeAspect="1"/>
        </xdr:cNvPicPr>
      </xdr:nvPicPr>
      <xdr:blipFill>
        <a:blip xmlns:r="http://schemas.openxmlformats.org/officeDocument/2006/relationships" r:embed="rId1" cstate="print"/>
        <a:stretch>
          <a:fillRect/>
        </a:stretch>
      </xdr:blipFill>
      <xdr:spPr>
        <a:xfrm>
          <a:off x="0" y="0"/>
          <a:ext cx="2057400" cy="581025"/>
        </a:xfrm>
        <a:prstGeom prst="rect">
          <a:avLst/>
        </a:prstGeom>
      </xdr:spPr>
    </xdr:pic>
    <xdr:clientData/>
  </xdr:twoCellAnchor>
  <xdr:twoCellAnchor editAs="oneCell">
    <xdr:from>
      <xdr:col>0</xdr:col>
      <xdr:colOff>0</xdr:colOff>
      <xdr:row>0</xdr:row>
      <xdr:rowOff>13416</xdr:rowOff>
    </xdr:from>
    <xdr:to>
      <xdr:col>0</xdr:col>
      <xdr:colOff>2116294</xdr:colOff>
      <xdr:row>2</xdr:row>
      <xdr:rowOff>214648</xdr:rowOff>
    </xdr:to>
    <xdr:pic>
      <xdr:nvPicPr>
        <xdr:cNvPr id="3" name="Imagen 2">
          <a:extLst>
            <a:ext uri="{FF2B5EF4-FFF2-40B4-BE49-F238E27FC236}">
              <a16:creationId xmlns:a16="http://schemas.microsoft.com/office/drawing/2014/main" id="{7A48140F-7D2A-4F6C-9F74-8070254EF0AE}"/>
            </a:ext>
          </a:extLst>
        </xdr:cNvPr>
        <xdr:cNvPicPr>
          <a:picLocks noChangeAspect="1"/>
        </xdr:cNvPicPr>
      </xdr:nvPicPr>
      <xdr:blipFill>
        <a:blip xmlns:r="http://schemas.openxmlformats.org/officeDocument/2006/relationships" r:embed="rId1" cstate="print"/>
        <a:stretch>
          <a:fillRect/>
        </a:stretch>
      </xdr:blipFill>
      <xdr:spPr>
        <a:xfrm>
          <a:off x="93908" y="13416"/>
          <a:ext cx="2116294" cy="94418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13416</xdr:rowOff>
    </xdr:from>
    <xdr:to>
      <xdr:col>0</xdr:col>
      <xdr:colOff>1885950</xdr:colOff>
      <xdr:row>2</xdr:row>
      <xdr:rowOff>314325</xdr:rowOff>
    </xdr:to>
    <xdr:pic>
      <xdr:nvPicPr>
        <xdr:cNvPr id="2" name="Imagen 1">
          <a:extLst>
            <a:ext uri="{FF2B5EF4-FFF2-40B4-BE49-F238E27FC236}">
              <a16:creationId xmlns:a16="http://schemas.microsoft.com/office/drawing/2014/main" id="{42868555-9DC3-4E57-B4A8-F132EAA59CF7}"/>
            </a:ext>
          </a:extLst>
        </xdr:cNvPr>
        <xdr:cNvPicPr>
          <a:picLocks noChangeAspect="1"/>
        </xdr:cNvPicPr>
      </xdr:nvPicPr>
      <xdr:blipFill>
        <a:blip xmlns:r="http://schemas.openxmlformats.org/officeDocument/2006/relationships" r:embed="rId1" cstate="print"/>
        <a:stretch>
          <a:fillRect/>
        </a:stretch>
      </xdr:blipFill>
      <xdr:spPr>
        <a:xfrm>
          <a:off x="0" y="13416"/>
          <a:ext cx="1885950" cy="10438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6</xdr:col>
      <xdr:colOff>828675</xdr:colOff>
      <xdr:row>31</xdr:row>
      <xdr:rowOff>166686</xdr:rowOff>
    </xdr:from>
    <xdr:to>
      <xdr:col>9</xdr:col>
      <xdr:colOff>1609725</xdr:colOff>
      <xdr:row>48</xdr:row>
      <xdr:rowOff>171449</xdr:rowOff>
    </xdr:to>
    <xdr:graphicFrame macro="">
      <xdr:nvGraphicFramePr>
        <xdr:cNvPr id="2" name="Gráfico 1">
          <a:extLst>
            <a:ext uri="{FF2B5EF4-FFF2-40B4-BE49-F238E27FC236}">
              <a16:creationId xmlns:a16="http://schemas.microsoft.com/office/drawing/2014/main" id="{F2942045-4B4E-4BE7-9264-CFAC823566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95250</xdr:colOff>
      <xdr:row>2</xdr:row>
      <xdr:rowOff>39610</xdr:rowOff>
    </xdr:from>
    <xdr:to>
      <xdr:col>19</xdr:col>
      <xdr:colOff>200026</xdr:colOff>
      <xdr:row>11</xdr:row>
      <xdr:rowOff>122318</xdr:rowOff>
    </xdr:to>
    <xdr:graphicFrame macro="">
      <xdr:nvGraphicFramePr>
        <xdr:cNvPr id="3" name="Gráfico 2">
          <a:extLst>
            <a:ext uri="{FF2B5EF4-FFF2-40B4-BE49-F238E27FC236}">
              <a16:creationId xmlns:a16="http://schemas.microsoft.com/office/drawing/2014/main" id="{4F5BBD97-27F9-495F-AF8C-753742D1D2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57868</xdr:colOff>
      <xdr:row>13</xdr:row>
      <xdr:rowOff>3481</xdr:rowOff>
    </xdr:from>
    <xdr:to>
      <xdr:col>19</xdr:col>
      <xdr:colOff>225323</xdr:colOff>
      <xdr:row>26</xdr:row>
      <xdr:rowOff>62629</xdr:rowOff>
    </xdr:to>
    <xdr:graphicFrame macro="">
      <xdr:nvGraphicFramePr>
        <xdr:cNvPr id="5" name="Gráfico 4">
          <a:extLst>
            <a:ext uri="{FF2B5EF4-FFF2-40B4-BE49-F238E27FC236}">
              <a16:creationId xmlns:a16="http://schemas.microsoft.com/office/drawing/2014/main" id="{BC80054C-4DF4-4312-9D44-D3F0D17C1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puerta/Desktop/PLAN%20DE%20ADQUISICION/POAI%202021/Plantilla%20de%20presupuesto%20vigencia%202021%20antigua%20(1).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PLANEACION\Desktop\PLANEACION\PLANEACION%202023\PLANEACION\SEGUIMIENTO%20AL%20POAI%20-PDI\POAI%202023%20-SEGUIMIENTO\CUARTO%20TRIMESTRE\SEG%204%20TRIDR.HJGYPLAN%20OPERATIVO%20ANUAL%20DE%20INVERSIONES-2022-CMCOSTOS.xlsx" TargetMode="External"/><Relationship Id="rId1" Type="http://schemas.openxmlformats.org/officeDocument/2006/relationships/externalLinkPath" Target="/Users/PLANEACION/Desktop/PLANEACION/PLANEACION%202023/PLANEACION/SEGUIMIENTO%20AL%20POAI%20-PDI/POAI%202023%20-SEGUIMIENTO/CUARTO%20TRIMESTRE/SEG%204%20TRIDR.HJGYPLAN%20OPERATIVO%20ANUAL%20DE%20INVERSIONES-2022-CMCOST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LANEACION/Desktop/PLANEACION/PLANEACI&#211;N%202022/PLANEACI&#211;N%202022/SEGUIMIENTO%20PLAN%20DE%20DESARROLLO%202022/INFORMACI&#211;N%20PARA%20SEGUIMIENTO%20DEL%20PDI-POAI/DICIEMBRE%2031/FORMATO%20CONSOLIDACI&#211;N30%20DE%20DICIEMBRE.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PLANEACION/Desktop/PLANEACION/PLANEACI&#211;N%202022/PLANEACI&#211;N%202022/SEGUIMIENTO%20PLAN%20DE%20DESARROLLO%202022/INFORMACI&#211;N%20PARA%20SEGUIMIENTO%20DEL%20PDI-POAI/DICIEMBRE%2031/DR.HJGYPLAN%20OPERATIVO%20ANUAL%20DE%20INVERSIONES-31-12-2021.xlsx?21AD325D" TargetMode="External"/><Relationship Id="rId1" Type="http://schemas.openxmlformats.org/officeDocument/2006/relationships/externalLinkPath" Target="file:///\\21AD325D\DR.HJGYPLAN%20OPERATIVO%20ANUAL%20DE%20INVERSIONES-31-12-202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PLANEACION\Desktop\PLANEACION\PLANEACION%202023\PLANEACION\SEGUIMIENTO%20AL%20POAI%20-PDI\SEGUIMIENTO%20PDI2023\final%20seguimiento%20PDI2022\indicadores%2015022023.xlsx" TargetMode="External"/><Relationship Id="rId1" Type="http://schemas.openxmlformats.org/officeDocument/2006/relationships/externalLinkPath" Target="/Users/PLANEACION/Desktop/PLANEACION/PLANEACION%202023/PLANEACION/SEGUIMIENTO%20AL%20POAI%20-PDI/SEGUIMIENTO%20PDI2023/final%20seguimiento%20PDI2022/indicadores%20150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Información general"/>
      <sheetName val="Datos seguridad social"/>
      <sheetName val="Cálculos seguridad social"/>
      <sheetName val="Proyeccion de Planta de cargos"/>
      <sheetName val="Jubilados"/>
      <sheetName val="Datos a presupuestar"/>
      <sheetName val="Datos de desfinanciación"/>
      <sheetName val="Presupuesto equilibrado"/>
      <sheetName val="Certificado de mantenimiento"/>
    </sheetNames>
    <sheetDataSet>
      <sheetData sheetId="0"/>
      <sheetData sheetId="1"/>
      <sheetData sheetId="2">
        <row r="5">
          <cell r="C5">
            <v>1</v>
          </cell>
          <cell r="J5">
            <v>11610515</v>
          </cell>
          <cell r="K5">
            <v>0</v>
          </cell>
        </row>
        <row r="6">
          <cell r="C6">
            <v>1</v>
          </cell>
          <cell r="J6">
            <v>8455138</v>
          </cell>
          <cell r="K6">
            <v>0</v>
          </cell>
        </row>
        <row r="7">
          <cell r="C7">
            <v>1</v>
          </cell>
          <cell r="J7">
            <v>5972358</v>
          </cell>
          <cell r="K7">
            <v>0</v>
          </cell>
        </row>
        <row r="8">
          <cell r="C8">
            <v>1</v>
          </cell>
          <cell r="J8">
            <v>2601568</v>
          </cell>
          <cell r="K8">
            <v>0</v>
          </cell>
        </row>
        <row r="9">
          <cell r="C9">
            <v>1</v>
          </cell>
          <cell r="J9">
            <v>5972391</v>
          </cell>
          <cell r="K9">
            <v>0</v>
          </cell>
        </row>
        <row r="10">
          <cell r="C10">
            <v>1</v>
          </cell>
          <cell r="J10">
            <v>3688613</v>
          </cell>
          <cell r="K10">
            <v>0</v>
          </cell>
        </row>
        <row r="11">
          <cell r="C11">
            <v>1</v>
          </cell>
          <cell r="J11">
            <v>2057860</v>
          </cell>
          <cell r="K11">
            <v>0</v>
          </cell>
        </row>
        <row r="12">
          <cell r="C12">
            <v>1</v>
          </cell>
          <cell r="J12">
            <v>2366538</v>
          </cell>
          <cell r="K12">
            <v>530155</v>
          </cell>
        </row>
        <row r="13">
          <cell r="C13">
            <v>1</v>
          </cell>
          <cell r="J13">
            <v>2057860</v>
          </cell>
          <cell r="K13">
            <v>0</v>
          </cell>
        </row>
        <row r="14">
          <cell r="C14">
            <v>1</v>
          </cell>
          <cell r="J14">
            <v>1808237</v>
          </cell>
          <cell r="K14">
            <v>0</v>
          </cell>
        </row>
        <row r="15">
          <cell r="C15">
            <v>1</v>
          </cell>
          <cell r="J15">
            <v>2057860</v>
          </cell>
          <cell r="K15">
            <v>0</v>
          </cell>
        </row>
        <row r="16">
          <cell r="C16">
            <v>1</v>
          </cell>
          <cell r="J16">
            <v>2057860</v>
          </cell>
          <cell r="K16">
            <v>0</v>
          </cell>
        </row>
        <row r="17">
          <cell r="C17">
            <v>1</v>
          </cell>
          <cell r="J17">
            <v>2256844</v>
          </cell>
          <cell r="K17">
            <v>0</v>
          </cell>
        </row>
        <row r="18">
          <cell r="C18">
            <v>1</v>
          </cell>
          <cell r="J18">
            <v>2079472</v>
          </cell>
          <cell r="K18">
            <v>0</v>
          </cell>
        </row>
        <row r="19">
          <cell r="C19">
            <v>1</v>
          </cell>
          <cell r="J19">
            <v>2057860</v>
          </cell>
          <cell r="K19">
            <v>0</v>
          </cell>
        </row>
        <row r="20">
          <cell r="C20">
            <v>1</v>
          </cell>
          <cell r="J20">
            <v>2480821</v>
          </cell>
          <cell r="K20">
            <v>0</v>
          </cell>
        </row>
        <row r="21">
          <cell r="D21">
            <v>1</v>
          </cell>
          <cell r="J21">
            <v>2057860</v>
          </cell>
          <cell r="K21">
            <v>215724</v>
          </cell>
        </row>
        <row r="22">
          <cell r="D22">
            <v>1</v>
          </cell>
          <cell r="J22">
            <v>2057860</v>
          </cell>
          <cell r="K22">
            <v>607091</v>
          </cell>
        </row>
        <row r="23">
          <cell r="C23">
            <v>1</v>
          </cell>
          <cell r="J23">
            <v>2480821</v>
          </cell>
          <cell r="K23">
            <v>0</v>
          </cell>
        </row>
        <row r="24">
          <cell r="C24">
            <v>1</v>
          </cell>
          <cell r="J24">
            <v>2057860</v>
          </cell>
          <cell r="K24">
            <v>0</v>
          </cell>
        </row>
        <row r="25">
          <cell r="D25">
            <v>1</v>
          </cell>
          <cell r="J25">
            <v>2057860</v>
          </cell>
          <cell r="K25">
            <v>413021</v>
          </cell>
        </row>
        <row r="26">
          <cell r="D26">
            <v>1</v>
          </cell>
          <cell r="J26">
            <v>2057860</v>
          </cell>
          <cell r="K26">
            <v>291227</v>
          </cell>
        </row>
        <row r="27">
          <cell r="D27">
            <v>1</v>
          </cell>
          <cell r="J27">
            <v>2480821</v>
          </cell>
          <cell r="K27">
            <v>0</v>
          </cell>
        </row>
        <row r="28">
          <cell r="D28">
            <v>1</v>
          </cell>
          <cell r="J28">
            <v>2057860</v>
          </cell>
          <cell r="K28">
            <v>291227</v>
          </cell>
        </row>
        <row r="29">
          <cell r="D29">
            <v>1</v>
          </cell>
          <cell r="J29">
            <v>2480821</v>
          </cell>
          <cell r="K29">
            <v>215724</v>
          </cell>
        </row>
        <row r="30">
          <cell r="D30">
            <v>1</v>
          </cell>
          <cell r="J30">
            <v>2057860</v>
          </cell>
          <cell r="K30">
            <v>468301</v>
          </cell>
        </row>
        <row r="31">
          <cell r="D31">
            <v>1</v>
          </cell>
          <cell r="J31">
            <v>2480821</v>
          </cell>
          <cell r="K31">
            <v>330776</v>
          </cell>
        </row>
        <row r="32">
          <cell r="D32">
            <v>1</v>
          </cell>
          <cell r="J32">
            <v>2057860</v>
          </cell>
          <cell r="K32">
            <v>0</v>
          </cell>
        </row>
        <row r="33">
          <cell r="D33">
            <v>1</v>
          </cell>
          <cell r="J33">
            <v>2480821</v>
          </cell>
          <cell r="K33">
            <v>215724</v>
          </cell>
        </row>
        <row r="34">
          <cell r="D34">
            <v>1</v>
          </cell>
          <cell r="J34">
            <v>2057860</v>
          </cell>
          <cell r="K34">
            <v>360438</v>
          </cell>
        </row>
        <row r="35">
          <cell r="D35">
            <v>1</v>
          </cell>
          <cell r="J35">
            <v>2480821</v>
          </cell>
          <cell r="K35">
            <v>0</v>
          </cell>
        </row>
        <row r="36">
          <cell r="D36">
            <v>1</v>
          </cell>
          <cell r="J36">
            <v>2480821</v>
          </cell>
          <cell r="K36">
            <v>0</v>
          </cell>
        </row>
        <row r="37">
          <cell r="D37">
            <v>1</v>
          </cell>
          <cell r="J37">
            <v>2057860</v>
          </cell>
          <cell r="K37">
            <v>291227</v>
          </cell>
        </row>
        <row r="38">
          <cell r="D38">
            <v>1</v>
          </cell>
          <cell r="J38">
            <v>2057860</v>
          </cell>
          <cell r="K38">
            <v>0</v>
          </cell>
        </row>
        <row r="39">
          <cell r="D39">
            <v>1</v>
          </cell>
          <cell r="J39">
            <v>2480821</v>
          </cell>
          <cell r="K39">
            <v>0</v>
          </cell>
        </row>
        <row r="40">
          <cell r="D40">
            <v>1</v>
          </cell>
          <cell r="J40">
            <v>2057860</v>
          </cell>
          <cell r="K40">
            <v>486086</v>
          </cell>
        </row>
        <row r="41">
          <cell r="D41">
            <v>1</v>
          </cell>
          <cell r="J41">
            <v>2057860</v>
          </cell>
          <cell r="K41">
            <v>291227</v>
          </cell>
        </row>
        <row r="42">
          <cell r="D42">
            <v>1</v>
          </cell>
          <cell r="J42">
            <v>2057860</v>
          </cell>
          <cell r="K42">
            <v>468301</v>
          </cell>
        </row>
        <row r="43">
          <cell r="C43">
            <v>1</v>
          </cell>
          <cell r="J43">
            <v>2480821</v>
          </cell>
          <cell r="K43">
            <v>0</v>
          </cell>
        </row>
        <row r="44">
          <cell r="D44">
            <v>1</v>
          </cell>
          <cell r="J44">
            <v>2057860</v>
          </cell>
          <cell r="K44">
            <v>486086</v>
          </cell>
        </row>
        <row r="45">
          <cell r="D45">
            <v>1</v>
          </cell>
          <cell r="J45">
            <v>2480821</v>
          </cell>
          <cell r="K45">
            <v>330776</v>
          </cell>
        </row>
        <row r="46">
          <cell r="D46">
            <v>1</v>
          </cell>
          <cell r="J46">
            <v>2057860</v>
          </cell>
          <cell r="K46">
            <v>486086</v>
          </cell>
        </row>
        <row r="47">
          <cell r="D47">
            <v>1</v>
          </cell>
          <cell r="J47">
            <v>2057860</v>
          </cell>
          <cell r="K47">
            <v>291227</v>
          </cell>
        </row>
        <row r="48">
          <cell r="D48">
            <v>1</v>
          </cell>
          <cell r="J48">
            <v>2480821</v>
          </cell>
          <cell r="K48">
            <v>0</v>
          </cell>
        </row>
        <row r="49">
          <cell r="D49">
            <v>1</v>
          </cell>
          <cell r="J49">
            <v>2480821</v>
          </cell>
          <cell r="K49">
            <v>330776</v>
          </cell>
        </row>
        <row r="50">
          <cell r="D50">
            <v>1</v>
          </cell>
          <cell r="J50">
            <v>2480821</v>
          </cell>
          <cell r="K50">
            <v>248082</v>
          </cell>
        </row>
        <row r="51">
          <cell r="D51">
            <v>1</v>
          </cell>
          <cell r="J51">
            <v>2057860</v>
          </cell>
          <cell r="K51">
            <v>291227</v>
          </cell>
        </row>
        <row r="52">
          <cell r="C52">
            <v>1</v>
          </cell>
          <cell r="J52">
            <v>2480821</v>
          </cell>
          <cell r="K52">
            <v>330776</v>
          </cell>
        </row>
        <row r="53">
          <cell r="D53">
            <v>1</v>
          </cell>
          <cell r="J53">
            <v>2480821</v>
          </cell>
          <cell r="K53">
            <v>0</v>
          </cell>
        </row>
        <row r="54">
          <cell r="D54">
            <v>1</v>
          </cell>
          <cell r="J54">
            <v>2480821</v>
          </cell>
          <cell r="K54">
            <v>0</v>
          </cell>
        </row>
        <row r="55">
          <cell r="D55">
            <v>1</v>
          </cell>
          <cell r="J55">
            <v>2057860</v>
          </cell>
          <cell r="K55">
            <v>468301</v>
          </cell>
        </row>
        <row r="56">
          <cell r="D56">
            <v>1</v>
          </cell>
          <cell r="J56">
            <v>3802627</v>
          </cell>
          <cell r="K56">
            <v>570394</v>
          </cell>
        </row>
        <row r="57">
          <cell r="D57">
            <v>1</v>
          </cell>
          <cell r="J57">
            <v>3802627</v>
          </cell>
          <cell r="K57">
            <v>0</v>
          </cell>
        </row>
        <row r="58">
          <cell r="D58">
            <v>1</v>
          </cell>
          <cell r="J58">
            <v>3802627</v>
          </cell>
          <cell r="K58">
            <v>570394</v>
          </cell>
        </row>
        <row r="59">
          <cell r="D59">
            <v>1</v>
          </cell>
          <cell r="J59">
            <v>3802627</v>
          </cell>
          <cell r="K59">
            <v>570394</v>
          </cell>
        </row>
        <row r="60">
          <cell r="D60">
            <v>1</v>
          </cell>
          <cell r="J60">
            <v>3802627</v>
          </cell>
          <cell r="K60">
            <v>570394</v>
          </cell>
        </row>
        <row r="61">
          <cell r="D61">
            <v>1</v>
          </cell>
          <cell r="J61">
            <v>3802627</v>
          </cell>
          <cell r="K61">
            <v>380262</v>
          </cell>
        </row>
        <row r="62">
          <cell r="D62">
            <v>1</v>
          </cell>
          <cell r="J62">
            <v>3802627</v>
          </cell>
          <cell r="K62">
            <v>380262</v>
          </cell>
        </row>
        <row r="63">
          <cell r="D63">
            <v>1</v>
          </cell>
          <cell r="J63">
            <v>3802627</v>
          </cell>
          <cell r="K63">
            <v>380262</v>
          </cell>
        </row>
        <row r="64">
          <cell r="D64">
            <v>1</v>
          </cell>
          <cell r="J64">
            <v>3802627</v>
          </cell>
          <cell r="K64">
            <v>380262</v>
          </cell>
        </row>
        <row r="65">
          <cell r="D65">
            <v>1</v>
          </cell>
          <cell r="J65">
            <v>3802627</v>
          </cell>
          <cell r="K65">
            <v>571062</v>
          </cell>
        </row>
        <row r="66">
          <cell r="D66">
            <v>1</v>
          </cell>
          <cell r="J66">
            <v>3802627</v>
          </cell>
          <cell r="K66">
            <v>571062</v>
          </cell>
        </row>
        <row r="67">
          <cell r="C67">
            <v>1</v>
          </cell>
          <cell r="J67">
            <v>5322294</v>
          </cell>
          <cell r="K67">
            <v>798344</v>
          </cell>
        </row>
        <row r="68">
          <cell r="D68">
            <v>1</v>
          </cell>
          <cell r="J68">
            <v>8691535</v>
          </cell>
          <cell r="K68">
            <v>826056</v>
          </cell>
        </row>
        <row r="69">
          <cell r="D69">
            <v>1</v>
          </cell>
          <cell r="J69">
            <v>6613124</v>
          </cell>
          <cell r="K69">
            <v>699652</v>
          </cell>
        </row>
        <row r="70">
          <cell r="C70">
            <v>1</v>
          </cell>
          <cell r="J70">
            <v>7557856</v>
          </cell>
          <cell r="K70">
            <v>0</v>
          </cell>
        </row>
        <row r="71">
          <cell r="D71">
            <v>1</v>
          </cell>
          <cell r="J71">
            <v>7557856</v>
          </cell>
          <cell r="K71">
            <v>0</v>
          </cell>
        </row>
        <row r="72">
          <cell r="D72">
            <v>1</v>
          </cell>
          <cell r="J72">
            <v>6304273</v>
          </cell>
          <cell r="K72">
            <v>0</v>
          </cell>
        </row>
        <row r="73">
          <cell r="D73">
            <v>1</v>
          </cell>
          <cell r="J73">
            <v>5481977</v>
          </cell>
          <cell r="K73">
            <v>434179</v>
          </cell>
        </row>
        <row r="74">
          <cell r="D74">
            <v>1</v>
          </cell>
          <cell r="J74">
            <v>5481977</v>
          </cell>
          <cell r="K74">
            <v>0</v>
          </cell>
        </row>
        <row r="75">
          <cell r="D75">
            <v>1</v>
          </cell>
          <cell r="J75">
            <v>5481977</v>
          </cell>
          <cell r="K75">
            <v>0</v>
          </cell>
        </row>
        <row r="76">
          <cell r="D76">
            <v>1</v>
          </cell>
          <cell r="J76">
            <v>2740990</v>
          </cell>
          <cell r="K76">
            <v>0</v>
          </cell>
        </row>
        <row r="77">
          <cell r="D77">
            <v>1</v>
          </cell>
          <cell r="J77">
            <v>2742050</v>
          </cell>
          <cell r="K77">
            <v>0</v>
          </cell>
        </row>
        <row r="78">
          <cell r="D78">
            <v>1</v>
          </cell>
          <cell r="J78">
            <v>2742050</v>
          </cell>
          <cell r="K78">
            <v>0</v>
          </cell>
        </row>
        <row r="79">
          <cell r="D79">
            <v>1</v>
          </cell>
          <cell r="J79">
            <v>2742050</v>
          </cell>
          <cell r="K79">
            <v>0</v>
          </cell>
        </row>
        <row r="80">
          <cell r="D80">
            <v>1</v>
          </cell>
          <cell r="J80">
            <v>2742050</v>
          </cell>
          <cell r="K80">
            <v>344406</v>
          </cell>
        </row>
        <row r="81">
          <cell r="D81">
            <v>1</v>
          </cell>
          <cell r="J81">
            <v>2311530</v>
          </cell>
          <cell r="K81">
            <v>0</v>
          </cell>
        </row>
        <row r="82">
          <cell r="D82">
            <v>1</v>
          </cell>
          <cell r="J82">
            <v>3688613</v>
          </cell>
          <cell r="K82">
            <v>0</v>
          </cell>
        </row>
        <row r="83">
          <cell r="C83">
            <v>1</v>
          </cell>
          <cell r="J83">
            <v>5322294</v>
          </cell>
          <cell r="K83">
            <v>0</v>
          </cell>
        </row>
        <row r="84">
          <cell r="C84">
            <v>1</v>
          </cell>
          <cell r="J84">
            <v>3688613</v>
          </cell>
          <cell r="K84">
            <v>0</v>
          </cell>
        </row>
        <row r="85">
          <cell r="C85">
            <v>1</v>
          </cell>
          <cell r="J85">
            <v>6501762</v>
          </cell>
          <cell r="K85">
            <v>0</v>
          </cell>
        </row>
        <row r="86">
          <cell r="D86">
            <v>1</v>
          </cell>
          <cell r="J86">
            <v>5779475</v>
          </cell>
          <cell r="K86">
            <v>0</v>
          </cell>
        </row>
        <row r="87">
          <cell r="C87">
            <v>1</v>
          </cell>
          <cell r="J87">
            <v>2756252</v>
          </cell>
          <cell r="K87">
            <v>0</v>
          </cell>
        </row>
        <row r="88">
          <cell r="C88">
            <v>1</v>
          </cell>
          <cell r="J88">
            <v>2256844</v>
          </cell>
          <cell r="K88">
            <v>0</v>
          </cell>
        </row>
        <row r="89">
          <cell r="C89">
            <v>1</v>
          </cell>
          <cell r="J89">
            <v>2057860</v>
          </cell>
          <cell r="K89">
            <v>85744</v>
          </cell>
        </row>
        <row r="90">
          <cell r="C90">
            <v>1</v>
          </cell>
          <cell r="J90">
            <v>2057860</v>
          </cell>
          <cell r="K90">
            <v>0</v>
          </cell>
        </row>
        <row r="91">
          <cell r="C91">
            <v>1</v>
          </cell>
          <cell r="J91">
            <v>2057860</v>
          </cell>
          <cell r="K91">
            <v>0</v>
          </cell>
        </row>
        <row r="92">
          <cell r="C92">
            <v>1</v>
          </cell>
          <cell r="J92">
            <v>2057860</v>
          </cell>
          <cell r="K92">
            <v>0</v>
          </cell>
        </row>
        <row r="93">
          <cell r="C93">
            <v>1</v>
          </cell>
          <cell r="J93">
            <v>2256844</v>
          </cell>
          <cell r="K93">
            <v>0</v>
          </cell>
        </row>
        <row r="94">
          <cell r="C94">
            <v>1</v>
          </cell>
          <cell r="J94">
            <v>2256844</v>
          </cell>
          <cell r="K94">
            <v>0</v>
          </cell>
        </row>
        <row r="95">
          <cell r="C95">
            <v>1</v>
          </cell>
          <cell r="J95">
            <v>2256844</v>
          </cell>
          <cell r="K95">
            <v>0</v>
          </cell>
        </row>
        <row r="96">
          <cell r="C96">
            <v>1</v>
          </cell>
          <cell r="J96">
            <v>3137976</v>
          </cell>
          <cell r="K96">
            <v>0</v>
          </cell>
        </row>
        <row r="97">
          <cell r="C97">
            <v>1</v>
          </cell>
          <cell r="J97">
            <v>3137976</v>
          </cell>
          <cell r="K97">
            <v>0</v>
          </cell>
        </row>
        <row r="98">
          <cell r="D98">
            <v>1</v>
          </cell>
          <cell r="J98">
            <v>3032500</v>
          </cell>
          <cell r="K98">
            <v>599550</v>
          </cell>
        </row>
        <row r="99">
          <cell r="C99">
            <v>1</v>
          </cell>
          <cell r="J99">
            <v>2881627</v>
          </cell>
          <cell r="K99">
            <v>0</v>
          </cell>
        </row>
        <row r="100">
          <cell r="C100">
            <v>1</v>
          </cell>
          <cell r="J100">
            <v>3170205</v>
          </cell>
          <cell r="K100">
            <v>0</v>
          </cell>
        </row>
        <row r="101">
          <cell r="C101">
            <v>1</v>
          </cell>
          <cell r="J101">
            <v>2505893</v>
          </cell>
          <cell r="K101">
            <v>0</v>
          </cell>
        </row>
        <row r="102">
          <cell r="D102">
            <v>1</v>
          </cell>
          <cell r="J102">
            <v>1964723</v>
          </cell>
          <cell r="K102">
            <v>515331</v>
          </cell>
        </row>
        <row r="103">
          <cell r="D103">
            <v>1</v>
          </cell>
          <cell r="J103">
            <v>1964723</v>
          </cell>
          <cell r="K103">
            <v>515331</v>
          </cell>
        </row>
        <row r="104">
          <cell r="D104">
            <v>1</v>
          </cell>
          <cell r="J104">
            <v>1964723</v>
          </cell>
          <cell r="K104">
            <v>515331</v>
          </cell>
        </row>
        <row r="105">
          <cell r="D105">
            <v>1</v>
          </cell>
          <cell r="J105">
            <v>1964723</v>
          </cell>
          <cell r="K105">
            <v>515331</v>
          </cell>
        </row>
        <row r="106">
          <cell r="C106">
            <v>1</v>
          </cell>
          <cell r="J106">
            <v>1964723</v>
          </cell>
          <cell r="K106">
            <v>515331</v>
          </cell>
        </row>
        <row r="107">
          <cell r="D107">
            <v>1</v>
          </cell>
          <cell r="J107">
            <v>1964723</v>
          </cell>
          <cell r="K107">
            <v>515331</v>
          </cell>
        </row>
        <row r="108">
          <cell r="C108">
            <v>1</v>
          </cell>
          <cell r="J108">
            <v>2057860</v>
          </cell>
          <cell r="K108">
            <v>0</v>
          </cell>
        </row>
        <row r="109">
          <cell r="D109">
            <v>1</v>
          </cell>
          <cell r="J109">
            <v>2157235</v>
          </cell>
          <cell r="K109">
            <v>291227</v>
          </cell>
        </row>
        <row r="110">
          <cell r="D110">
            <v>1</v>
          </cell>
          <cell r="J110">
            <v>2157235</v>
          </cell>
          <cell r="K110">
            <v>291227</v>
          </cell>
        </row>
        <row r="111">
          <cell r="D111">
            <v>1</v>
          </cell>
          <cell r="J111">
            <v>2157235</v>
          </cell>
          <cell r="K111">
            <v>291227</v>
          </cell>
        </row>
        <row r="112">
          <cell r="D112">
            <v>1</v>
          </cell>
          <cell r="J112">
            <v>2157235</v>
          </cell>
          <cell r="K112">
            <v>291227</v>
          </cell>
        </row>
        <row r="113">
          <cell r="D113">
            <v>1</v>
          </cell>
          <cell r="J113">
            <v>2157235</v>
          </cell>
          <cell r="K113">
            <v>291227</v>
          </cell>
        </row>
        <row r="114">
          <cell r="D114">
            <v>1</v>
          </cell>
          <cell r="J114">
            <v>2157235</v>
          </cell>
          <cell r="K114">
            <v>291227</v>
          </cell>
        </row>
        <row r="115">
          <cell r="D115">
            <v>1</v>
          </cell>
          <cell r="J115">
            <v>2157235</v>
          </cell>
          <cell r="K115">
            <v>291227</v>
          </cell>
        </row>
        <row r="116">
          <cell r="D116">
            <v>1</v>
          </cell>
          <cell r="J116">
            <v>2157235</v>
          </cell>
          <cell r="K116">
            <v>291227</v>
          </cell>
        </row>
        <row r="117">
          <cell r="D117">
            <v>1</v>
          </cell>
          <cell r="J117">
            <v>2157235</v>
          </cell>
          <cell r="K117">
            <v>291227</v>
          </cell>
        </row>
        <row r="118">
          <cell r="D118">
            <v>1</v>
          </cell>
          <cell r="J118">
            <v>2157235</v>
          </cell>
          <cell r="K118">
            <v>291227</v>
          </cell>
        </row>
        <row r="119">
          <cell r="D119">
            <v>1</v>
          </cell>
          <cell r="J119">
            <v>2157235</v>
          </cell>
          <cell r="K119">
            <v>291227</v>
          </cell>
        </row>
        <row r="120">
          <cell r="D120">
            <v>1</v>
          </cell>
          <cell r="J120">
            <v>2157235</v>
          </cell>
          <cell r="K120">
            <v>291227</v>
          </cell>
        </row>
        <row r="121">
          <cell r="D121">
            <v>1</v>
          </cell>
          <cell r="J121">
            <v>2157235</v>
          </cell>
          <cell r="K121">
            <v>291227</v>
          </cell>
        </row>
        <row r="122">
          <cell r="D122">
            <v>1</v>
          </cell>
          <cell r="J122">
            <v>2157235</v>
          </cell>
          <cell r="K122">
            <v>291227</v>
          </cell>
        </row>
        <row r="123">
          <cell r="D123">
            <v>1</v>
          </cell>
          <cell r="J123">
            <v>2157235</v>
          </cell>
          <cell r="K123">
            <v>291227</v>
          </cell>
        </row>
        <row r="124">
          <cell r="D124">
            <v>1</v>
          </cell>
          <cell r="J124">
            <v>2157235</v>
          </cell>
          <cell r="K124">
            <v>291227</v>
          </cell>
        </row>
        <row r="125">
          <cell r="D125">
            <v>1</v>
          </cell>
          <cell r="J125">
            <v>2157235</v>
          </cell>
          <cell r="K125">
            <v>291227</v>
          </cell>
        </row>
        <row r="126">
          <cell r="D126">
            <v>1</v>
          </cell>
          <cell r="J126">
            <v>2157235</v>
          </cell>
          <cell r="K126">
            <v>291227</v>
          </cell>
        </row>
        <row r="127">
          <cell r="D127">
            <v>1</v>
          </cell>
          <cell r="J127">
            <v>2157235</v>
          </cell>
          <cell r="K127">
            <v>291227</v>
          </cell>
        </row>
        <row r="128">
          <cell r="D128">
            <v>1</v>
          </cell>
          <cell r="J128">
            <v>2157235</v>
          </cell>
          <cell r="K128">
            <v>291227</v>
          </cell>
        </row>
        <row r="129">
          <cell r="D129">
            <v>1</v>
          </cell>
          <cell r="J129">
            <v>2157235</v>
          </cell>
          <cell r="K129">
            <v>291227</v>
          </cell>
        </row>
        <row r="130">
          <cell r="D130">
            <v>1</v>
          </cell>
          <cell r="J130">
            <v>2157235</v>
          </cell>
          <cell r="K130">
            <v>291227</v>
          </cell>
        </row>
        <row r="131">
          <cell r="D131">
            <v>1</v>
          </cell>
          <cell r="J131">
            <v>2157235</v>
          </cell>
          <cell r="K131">
            <v>291227</v>
          </cell>
        </row>
        <row r="132">
          <cell r="D132">
            <v>1</v>
          </cell>
          <cell r="J132">
            <v>2157235</v>
          </cell>
          <cell r="K132">
            <v>291227</v>
          </cell>
        </row>
        <row r="133">
          <cell r="D133">
            <v>1</v>
          </cell>
          <cell r="J133">
            <v>2157235</v>
          </cell>
          <cell r="K133">
            <v>291227</v>
          </cell>
        </row>
        <row r="134">
          <cell r="D134">
            <v>1</v>
          </cell>
          <cell r="J134">
            <v>2157235</v>
          </cell>
          <cell r="K134">
            <v>291227</v>
          </cell>
        </row>
        <row r="135">
          <cell r="D135">
            <v>1</v>
          </cell>
          <cell r="J135">
            <v>2157235</v>
          </cell>
          <cell r="K135">
            <v>291227</v>
          </cell>
        </row>
        <row r="136">
          <cell r="D136">
            <v>1</v>
          </cell>
          <cell r="J136">
            <v>2157235</v>
          </cell>
          <cell r="K136">
            <v>291227</v>
          </cell>
        </row>
        <row r="137">
          <cell r="D137">
            <v>1</v>
          </cell>
          <cell r="J137">
            <v>2157235</v>
          </cell>
          <cell r="K137">
            <v>291227</v>
          </cell>
        </row>
        <row r="138">
          <cell r="D138">
            <v>1</v>
          </cell>
          <cell r="J138">
            <v>2157235</v>
          </cell>
          <cell r="K138">
            <v>291227</v>
          </cell>
        </row>
        <row r="139">
          <cell r="D139">
            <v>1</v>
          </cell>
          <cell r="J139">
            <v>3778931</v>
          </cell>
          <cell r="K139">
            <v>0</v>
          </cell>
        </row>
        <row r="140">
          <cell r="D140">
            <v>1</v>
          </cell>
          <cell r="J140">
            <v>3778931</v>
          </cell>
          <cell r="K140">
            <v>0</v>
          </cell>
        </row>
        <row r="141">
          <cell r="D141">
            <v>1</v>
          </cell>
          <cell r="J141">
            <v>3778931</v>
          </cell>
          <cell r="K141">
            <v>0</v>
          </cell>
        </row>
        <row r="142">
          <cell r="D142">
            <v>1</v>
          </cell>
          <cell r="J142">
            <v>3778931</v>
          </cell>
          <cell r="K142">
            <v>0</v>
          </cell>
        </row>
        <row r="143">
          <cell r="D143">
            <v>1</v>
          </cell>
          <cell r="J143">
            <v>3778931</v>
          </cell>
          <cell r="K143">
            <v>0</v>
          </cell>
        </row>
        <row r="144">
          <cell r="D144">
            <v>1</v>
          </cell>
          <cell r="J144">
            <v>3778931</v>
          </cell>
          <cell r="K144">
            <v>0</v>
          </cell>
        </row>
        <row r="145">
          <cell r="D145">
            <v>1</v>
          </cell>
          <cell r="J145">
            <v>3778931</v>
          </cell>
          <cell r="K145">
            <v>0</v>
          </cell>
        </row>
        <row r="146">
          <cell r="D146">
            <v>1</v>
          </cell>
          <cell r="J146">
            <v>3778931</v>
          </cell>
          <cell r="K146">
            <v>0</v>
          </cell>
        </row>
        <row r="147">
          <cell r="D147">
            <v>1</v>
          </cell>
          <cell r="J147">
            <v>7189742</v>
          </cell>
          <cell r="K147">
            <v>0</v>
          </cell>
        </row>
        <row r="148">
          <cell r="D148">
            <v>1</v>
          </cell>
          <cell r="J148">
            <v>7189742</v>
          </cell>
          <cell r="K148">
            <v>0</v>
          </cell>
        </row>
        <row r="149">
          <cell r="D149">
            <v>1</v>
          </cell>
          <cell r="J149">
            <v>7189742</v>
          </cell>
          <cell r="K149">
            <v>0</v>
          </cell>
        </row>
        <row r="150">
          <cell r="D150">
            <v>1</v>
          </cell>
          <cell r="J150">
            <v>7189742</v>
          </cell>
          <cell r="K150">
            <v>0</v>
          </cell>
        </row>
        <row r="151">
          <cell r="D151">
            <v>1</v>
          </cell>
          <cell r="J151">
            <v>7189742</v>
          </cell>
          <cell r="K151">
            <v>0</v>
          </cell>
        </row>
        <row r="152">
          <cell r="D152">
            <v>1</v>
          </cell>
          <cell r="J152">
            <v>7189742</v>
          </cell>
          <cell r="K152">
            <v>0</v>
          </cell>
        </row>
        <row r="153">
          <cell r="D153">
            <v>1</v>
          </cell>
          <cell r="J153">
            <v>7189742</v>
          </cell>
          <cell r="K153">
            <v>0</v>
          </cell>
        </row>
        <row r="154">
          <cell r="D154">
            <v>1</v>
          </cell>
          <cell r="J154">
            <v>7189742</v>
          </cell>
          <cell r="K154">
            <v>0</v>
          </cell>
        </row>
        <row r="155">
          <cell r="D155">
            <v>1</v>
          </cell>
          <cell r="J155">
            <v>2607487</v>
          </cell>
          <cell r="K155">
            <v>0</v>
          </cell>
        </row>
        <row r="156">
          <cell r="D156">
            <v>1</v>
          </cell>
          <cell r="J156">
            <v>2607487</v>
          </cell>
          <cell r="K156">
            <v>0</v>
          </cell>
        </row>
        <row r="157">
          <cell r="D157">
            <v>1</v>
          </cell>
          <cell r="J157">
            <v>2508520</v>
          </cell>
          <cell r="K157">
            <v>0</v>
          </cell>
        </row>
        <row r="158">
          <cell r="D158">
            <v>1</v>
          </cell>
          <cell r="J158">
            <v>2505893</v>
          </cell>
          <cell r="K158">
            <v>0</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AI 2022 "/>
      <sheetName val="SEGUNDO TRIMESTRE"/>
      <sheetName val="TERCER TRIMESTRE_x0009_"/>
      <sheetName val="CUARTO TRIMESTRE"/>
      <sheetName val="consolidado activ trimestres"/>
      <sheetName val="consolidad finaciero2022"/>
      <sheetName val="PLAN DE GESTIÓN"/>
      <sheetName val="avances del plan"/>
      <sheetName val=" GRAFICOS 1 TRIMESTRE"/>
      <sheetName val="GRAFICOS 1 -2 TRIMESTRE"/>
      <sheetName val="GRAFICOS TERCER TRIMESTRE"/>
      <sheetName val="GRAFICOS 4 TRIMESTRE"/>
      <sheetName val="LINEA 1_x0009_SEGUIMIENTO DEL PLAN OP"/>
      <sheetName val="LINEA 2 SEGUIMIENTO DEL POAI"/>
      <sheetName val="LINEA3 SEGUIMIENTO DE POAI"/>
      <sheetName val="LINEA 4 SEGUIMIENTO DEL POAI"/>
      <sheetName val="LINEA5 SEGUIMIENTO POAI"/>
      <sheetName val="LINEA 6 SEGUIMIENTO DEL POAI"/>
      <sheetName val="LINEA7 SEGUIMIENTO DEL POAI "/>
      <sheetName val="LINEA8 SEGUIMIENTO DEL POAI"/>
      <sheetName val="RESUMEN LINEAS-POAI"/>
      <sheetName val="COSOLIDADO POAI"/>
      <sheetName val="PRESENTACIÓN"/>
      <sheetName val="DESGLOSE LINEA 2"/>
      <sheetName val="DESGLOSE LINEA 3"/>
    </sheetNames>
    <sheetDataSet>
      <sheetData sheetId="0"/>
      <sheetData sheetId="1"/>
      <sheetData sheetId="2"/>
      <sheetData sheetId="3">
        <row r="8">
          <cell r="D8">
            <v>27</v>
          </cell>
          <cell r="J8">
            <v>27</v>
          </cell>
        </row>
        <row r="13">
          <cell r="D13">
            <v>4</v>
          </cell>
          <cell r="J13">
            <v>3</v>
          </cell>
        </row>
        <row r="17">
          <cell r="D17">
            <v>0</v>
          </cell>
          <cell r="J17">
            <v>0</v>
          </cell>
        </row>
        <row r="18">
          <cell r="J18">
            <v>5</v>
          </cell>
        </row>
        <row r="20">
          <cell r="D20">
            <v>104</v>
          </cell>
          <cell r="J20">
            <v>104</v>
          </cell>
        </row>
        <row r="23">
          <cell r="D23">
            <v>19</v>
          </cell>
          <cell r="J23">
            <v>19</v>
          </cell>
        </row>
        <row r="24">
          <cell r="D24">
            <v>21</v>
          </cell>
          <cell r="J24">
            <v>21</v>
          </cell>
        </row>
        <row r="27">
          <cell r="D27">
            <v>3</v>
          </cell>
          <cell r="J27">
            <v>3</v>
          </cell>
        </row>
        <row r="28">
          <cell r="J28">
            <v>0</v>
          </cell>
        </row>
        <row r="32">
          <cell r="J32">
            <v>4</v>
          </cell>
        </row>
        <row r="36">
          <cell r="D36">
            <v>6</v>
          </cell>
          <cell r="J36">
            <v>6</v>
          </cell>
        </row>
        <row r="37">
          <cell r="D37">
            <v>16</v>
          </cell>
          <cell r="J37">
            <v>12</v>
          </cell>
        </row>
        <row r="38">
          <cell r="D38">
            <v>4</v>
          </cell>
          <cell r="J38">
            <v>4</v>
          </cell>
        </row>
      </sheetData>
      <sheetData sheetId="4"/>
      <sheetData sheetId="5"/>
      <sheetData sheetId="6"/>
      <sheetData sheetId="7"/>
      <sheetData sheetId="8"/>
      <sheetData sheetId="9">
        <row r="18">
          <cell r="B18" t="str">
            <v>ACTIVIDADES PROGRAMADAS  PRIEMER TRIMESTRE</v>
          </cell>
          <cell r="C18" t="str">
            <v>ACTIVIDADES EJECUTADAS PRIMER   TRIMESTRE</v>
          </cell>
        </row>
        <row r="19">
          <cell r="B19">
            <v>3770</v>
          </cell>
          <cell r="C19">
            <v>3766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I 2021"/>
      <sheetName val="consolidado"/>
      <sheetName val="4 TRIMESTRE"/>
      <sheetName val="PLAN DE GESTIÓN 2021"/>
      <sheetName val="seguimientos"/>
      <sheetName val="informe a junio.PDI"/>
      <sheetName val="RESUMEN"/>
      <sheetName val="TRIMETRES POAI"/>
      <sheetName val="AVANCE DEL PLAN"/>
      <sheetName val="JUAN CAMILO"/>
      <sheetName val="GRAFICOS POAI"/>
    </sheetNames>
    <sheetDataSet>
      <sheetData sheetId="0"/>
      <sheetData sheetId="1"/>
      <sheetData sheetId="2">
        <row r="65">
          <cell r="Y65" t="str">
            <v>% CUMPLIMIENTO PRIMER TRIMESTRE</v>
          </cell>
          <cell r="AB65" t="str">
            <v>% CUMPLIMIENTO SEGUNDO  TRIMESTRE</v>
          </cell>
          <cell r="AE65" t="str">
            <v>% CUMPLIMIENTO TERCER TRIMESTRE</v>
          </cell>
          <cell r="AJ65" t="str">
            <v>% CUMPLIMIENTO CUARTO TRIMESTRE</v>
          </cell>
          <cell r="AK65" t="str">
            <v>TOTAL ACTIVIDADES PROGRADAS AÑO</v>
          </cell>
          <cell r="AL65" t="str">
            <v>TOTAL ACTIVIDADES EJECUTADAS  AÑO</v>
          </cell>
          <cell r="AM65" t="str">
            <v>TOTAL CUMPLIMIENTO DE ACTIVIDADES -AÑO</v>
          </cell>
        </row>
        <row r="66">
          <cell r="Y66">
            <v>126.67928098391674</v>
          </cell>
          <cell r="AB66">
            <v>105.66411781365052</v>
          </cell>
          <cell r="AE66">
            <v>91.409574468085111</v>
          </cell>
          <cell r="AJ66">
            <v>67.821950390757735</v>
          </cell>
          <cell r="AK66">
            <v>12348</v>
          </cell>
          <cell r="AL66">
            <v>11842</v>
          </cell>
          <cell r="AM66">
            <v>95.902170391966308</v>
          </cell>
        </row>
      </sheetData>
      <sheetData sheetId="3"/>
      <sheetData sheetId="4"/>
      <sheetData sheetId="5"/>
      <sheetData sheetId="6"/>
      <sheetData sheetId="7">
        <row r="65">
          <cell r="V65" t="str">
            <v>ACTIVIDADES PROGRAMADAS AÑO</v>
          </cell>
          <cell r="W65" t="str">
            <v>ACTIVIDADES PROGRAMADAS  TERCER TRIMESTRE</v>
          </cell>
          <cell r="X65" t="str">
            <v>ACTIVIDADES EJECUTADAS TERCER TRIMESTRE</v>
          </cell>
          <cell r="Y65" t="str">
            <v>% CUMPLIMIENTO TERCER TRIMESTRE</v>
          </cell>
          <cell r="Z65" t="str">
            <v>TOTAL ACTIVIDADES PROGRAMADAS AL TRIMESTRES</v>
          </cell>
          <cell r="AA65" t="str">
            <v>TOTAL EJECUTADAS  AL TERCER TRIMESTRE</v>
          </cell>
          <cell r="AG65" t="str">
            <v>TOTAL CUMPLIMIENTO DE ACTIVIDADES -AÑO</v>
          </cell>
        </row>
        <row r="66">
          <cell r="V66">
            <v>12431</v>
          </cell>
          <cell r="W66">
            <v>3763</v>
          </cell>
          <cell r="X66">
            <v>3430</v>
          </cell>
          <cell r="Y66">
            <v>91.150677650810522</v>
          </cell>
          <cell r="Z66">
            <v>9468</v>
          </cell>
          <cell r="AA66">
            <v>10973</v>
          </cell>
          <cell r="AG66">
            <v>104.77226924627165</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I 2021 "/>
      <sheetName val="RESUMEN POAI 2021"/>
      <sheetName val="LINEA 1_x0009_SEGUIMIENTO DEL PLAN OP"/>
      <sheetName val="LINEA 2 SEGUIMIENTO DEL POAI"/>
      <sheetName val="LINEA3 SEGUIMIENTO DE POAI"/>
      <sheetName val="LINEA 4 SEGUIMIENTO DEL POAI"/>
      <sheetName val="LINEA5 SEGUIMIENTO POAI"/>
      <sheetName val="LINEA 6 SEGUIMIENTO DEL POAI"/>
      <sheetName val="LINEA7 SEGUIMIENTO DEL POAI "/>
      <sheetName val="LINEA8 SEGUIMIENTO DEL POAI"/>
      <sheetName val="RESUMEN LINEAS-POAI"/>
      <sheetName val="Hoja1"/>
    </sheetNames>
    <sheetDataSet>
      <sheetData sheetId="0"/>
      <sheetData sheetId="1">
        <row r="3">
          <cell r="D3" t="str">
            <v>TOTAL LINEA</v>
          </cell>
          <cell r="F3" t="str">
            <v xml:space="preserve">% LINEA SOBRE TOTAL PRESUPUESTO </v>
          </cell>
        </row>
        <row r="4">
          <cell r="A4" t="str">
            <v>Línea 1: Dirección estratégica para una gestión con responsabilidad</v>
          </cell>
          <cell r="D4">
            <v>1244579448</v>
          </cell>
          <cell r="F4">
            <v>0.65984139676375964</v>
          </cell>
        </row>
        <row r="5">
          <cell r="A5"/>
          <cell r="D5"/>
          <cell r="F5"/>
        </row>
        <row r="6">
          <cell r="A6"/>
          <cell r="D6"/>
          <cell r="F6"/>
        </row>
        <row r="7">
          <cell r="A7" t="str">
            <v>Línea 2: Gestión financiera y administrativa para el desarrollo sostenible</v>
          </cell>
          <cell r="D7">
            <v>58364277252</v>
          </cell>
          <cell r="F7">
            <v>30.943115993883101</v>
          </cell>
        </row>
        <row r="8">
          <cell r="A8"/>
          <cell r="D8"/>
          <cell r="F8"/>
        </row>
        <row r="9">
          <cell r="A9" t="str">
            <v>Línea 3: Gestión asistencial humanizada y equitativa</v>
          </cell>
          <cell r="D9">
            <v>124917601424</v>
          </cell>
          <cell r="F9">
            <v>66.227836829899815</v>
          </cell>
        </row>
        <row r="10">
          <cell r="A10"/>
          <cell r="D10"/>
          <cell r="F10"/>
        </row>
        <row r="11">
          <cell r="A11" t="str">
            <v>Línea 4: Enfoque de servicios por la vida</v>
          </cell>
          <cell r="D11">
            <v>1116129978</v>
          </cell>
          <cell r="F11">
            <v>0.59174106147816152</v>
          </cell>
        </row>
        <row r="12">
          <cell r="A12"/>
          <cell r="D12"/>
          <cell r="F12"/>
        </row>
        <row r="13">
          <cell r="A13"/>
          <cell r="D13"/>
          <cell r="F13"/>
        </row>
        <row r="14">
          <cell r="A14"/>
          <cell r="D14"/>
          <cell r="F14"/>
        </row>
        <row r="15">
          <cell r="A15" t="str">
            <v xml:space="preserve">	Línea 5: Compañía, amor y humanización al servicio de todos</v>
          </cell>
          <cell r="D15">
            <v>408050433</v>
          </cell>
          <cell r="F15">
            <v>0.21633698683796435</v>
          </cell>
        </row>
        <row r="16">
          <cell r="A16"/>
          <cell r="D16"/>
          <cell r="F16"/>
        </row>
        <row r="17">
          <cell r="A17" t="str">
            <v>Línea 6: Innovación, ciencia e investigación para la vida</v>
          </cell>
          <cell r="D17">
            <v>20000000</v>
          </cell>
          <cell r="F17">
            <v>1.0603443561985601E-2</v>
          </cell>
        </row>
        <row r="18">
          <cell r="A18"/>
          <cell r="D18"/>
          <cell r="F18"/>
        </row>
        <row r="19">
          <cell r="A19" t="str">
            <v>línea 7: medio ambiente sano y seguro, dejando huella para la vida</v>
          </cell>
          <cell r="D19">
            <v>416661893</v>
          </cell>
          <cell r="F19">
            <v>0.22090254334277917</v>
          </cell>
        </row>
        <row r="20">
          <cell r="A20" t="str">
            <v>Línea 8: Gestión integral del talento humano que trabaja con amor por la vida</v>
          </cell>
          <cell r="D20">
            <v>2130669603</v>
          </cell>
          <cell r="F20">
            <v>1.1296217442324383</v>
          </cell>
        </row>
        <row r="21">
          <cell r="A21"/>
          <cell r="D21"/>
          <cell r="F21"/>
        </row>
        <row r="22">
          <cell r="A22"/>
          <cell r="D22"/>
          <cell r="F22"/>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OLIDADO"/>
      <sheetName val="LINEA 1"/>
      <sheetName val="LINEA 2"/>
      <sheetName val="LINEA 3"/>
      <sheetName val="LINEA 4"/>
      <sheetName val="LINEA 5"/>
      <sheetName val="LINEA 6"/>
      <sheetName val="LINEA 7"/>
      <sheetName val="LINEA 8"/>
      <sheetName val="PDI-RESULTADOS 31 DICIEMBRE"/>
      <sheetName val=" INDICADORES PDI"/>
      <sheetName val="PLAN DE GESTIÓN"/>
      <sheetName val="LINEAS, PROGRAMAS"/>
      <sheetName val="EJECUCIÓN POR LINEAS POAI"/>
      <sheetName val=" GRAFICAS POAI"/>
      <sheetName val="POA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8">
          <cell r="D18" t="str">
            <v>% CUMPLIMIENTO PRIMER  TRIMESTRE</v>
          </cell>
          <cell r="E18" t="str">
            <v>TOTAL ACTIVIDADES PROGRAMADAS SEGUNDO TRIMESTRE</v>
          </cell>
          <cell r="F18" t="str">
            <v>TOTAL EJECUTADAS  AL SEGUNDO TRIMESTRE</v>
          </cell>
          <cell r="G18" t="str">
            <v>% CUMPLIMIENTO SEGUNDO TRIMESTRE</v>
          </cell>
          <cell r="H18" t="str">
            <v>ACTIVIDADES PROGRAMADAS  TERCER  TRIMESTRE</v>
          </cell>
          <cell r="I18" t="str">
            <v>ACTIVIDADES EJECUTADAS TERCER  TRIMESTRE</v>
          </cell>
          <cell r="J18" t="str">
            <v>% CUMPLIMIENTO TERCER TRIMESTRE</v>
          </cell>
          <cell r="K18" t="str">
            <v>TOTAL ACTIVIDADES PROGRAMADAS CUARTO  TRIMESTRE</v>
          </cell>
          <cell r="L18" t="str">
            <v>TOTAL EJECUTADAS  AL CUARTO TRIMESTRE TRIMESTRE</v>
          </cell>
          <cell r="M18" t="str">
            <v>% CUMPLIMIENTO CUARTO  TRIMESTRE</v>
          </cell>
          <cell r="O18" t="str">
            <v>% CUMPLIMIENTO AÑO</v>
          </cell>
          <cell r="S18" t="str">
            <v>EJECUCIÓN POAI 2022</v>
          </cell>
        </row>
        <row r="19">
          <cell r="D19">
            <v>99.893899204244036</v>
          </cell>
          <cell r="E19">
            <v>3684</v>
          </cell>
          <cell r="F19">
            <v>3594</v>
          </cell>
          <cell r="G19">
            <v>97.557003257328986</v>
          </cell>
          <cell r="H19">
            <v>1363</v>
          </cell>
          <cell r="I19">
            <v>1216</v>
          </cell>
          <cell r="J19">
            <v>89.21496698459282</v>
          </cell>
          <cell r="K19">
            <v>466</v>
          </cell>
          <cell r="L19">
            <v>438</v>
          </cell>
          <cell r="M19">
            <v>93.991416309012877</v>
          </cell>
          <cell r="O19">
            <v>0.97290879654614137</v>
          </cell>
          <cell r="S19" t="str">
            <v>ACTIVIDADES PROGRAMADAS VIGENCIA 2022</v>
          </cell>
          <cell r="T19" t="str">
            <v>TOTAL CUMPLIMIENTO DE ACTIVIDADES -VIGENCIA  2022</v>
          </cell>
          <cell r="U19" t="str">
            <v>% CUMPLIMIENTOVIGENCIA 2022</v>
          </cell>
        </row>
        <row r="20">
          <cell r="S20">
            <v>9265</v>
          </cell>
          <cell r="T20">
            <v>9014</v>
          </cell>
          <cell r="U20">
            <v>97.290879654614145</v>
          </cell>
        </row>
      </sheetData>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234"/>
  <sheetViews>
    <sheetView tabSelected="1" topLeftCell="J1" zoomScale="82" zoomScaleNormal="82" workbookViewId="0">
      <pane ySplit="7" topLeftCell="A8" activePane="bottomLeft" state="frozen"/>
      <selection activeCell="B37" sqref="B37"/>
      <selection pane="bottomLeft" activeCell="P8" sqref="P8"/>
    </sheetView>
  </sheetViews>
  <sheetFormatPr baseColWidth="10" defaultColWidth="11.42578125" defaultRowHeight="15.75"/>
  <cols>
    <col min="1" max="1" width="32.140625" style="10" customWidth="1"/>
    <col min="2" max="2" width="24.7109375" style="3" customWidth="1"/>
    <col min="3" max="3" width="20.7109375" style="3" customWidth="1"/>
    <col min="4" max="4" width="28.42578125" style="3" customWidth="1"/>
    <col min="5" max="5" width="24" style="3" customWidth="1"/>
    <col min="6" max="6" width="30.42578125" style="3" customWidth="1"/>
    <col min="7" max="7" width="24.42578125" style="3" customWidth="1"/>
    <col min="8" max="8" width="18.42578125" style="3" customWidth="1"/>
    <col min="9" max="9" width="20.28515625" style="3" customWidth="1"/>
    <col min="10" max="10" width="37.42578125" style="3" customWidth="1"/>
    <col min="11" max="11" width="15" style="3" hidden="1" customWidth="1"/>
    <col min="12" max="13" width="12.7109375" style="2" hidden="1" customWidth="1"/>
    <col min="14" max="14" width="38.42578125" style="2" hidden="1" customWidth="1"/>
    <col min="15" max="15" width="57.42578125" style="2" hidden="1" customWidth="1"/>
    <col min="16" max="16" width="38.140625" style="5" customWidth="1"/>
    <col min="17" max="18" width="15" style="3" customWidth="1"/>
    <col min="19" max="19" width="16.28515625" style="3" customWidth="1"/>
    <col min="20" max="20" width="16.7109375" style="3" customWidth="1"/>
    <col min="21" max="21" width="16.85546875" style="3" customWidth="1"/>
    <col min="22" max="22" width="18" style="3" customWidth="1"/>
    <col min="23" max="23" width="26" style="3" hidden="1" customWidth="1"/>
    <col min="24" max="24" width="21.42578125" style="3" hidden="1" customWidth="1"/>
    <col min="25" max="25" width="27.7109375" style="7" hidden="1" customWidth="1"/>
    <col min="26" max="26" width="28.140625" style="7" hidden="1" customWidth="1"/>
    <col min="27" max="36" width="25.42578125" style="7" customWidth="1"/>
    <col min="37" max="39" width="34.28515625" style="7" customWidth="1"/>
    <col min="40" max="44" width="43.85546875" style="7" customWidth="1"/>
    <col min="45" max="45" width="20" style="3" customWidth="1"/>
    <col min="46" max="46" width="20.140625" style="3" customWidth="1"/>
    <col min="47" max="47" width="30.28515625" style="2" customWidth="1"/>
    <col min="48" max="49" width="17.42578125" style="2" customWidth="1"/>
    <col min="50" max="50" width="21.140625" style="2" customWidth="1"/>
    <col min="51" max="51" width="16.7109375" style="2" customWidth="1"/>
    <col min="52" max="52" width="20.140625" style="2" customWidth="1"/>
    <col min="53" max="16384" width="11.42578125" style="2"/>
  </cols>
  <sheetData>
    <row r="1" spans="1:52" s="1" customFormat="1" ht="30.75" customHeight="1" thickTop="1" thickBot="1">
      <c r="A1" s="853"/>
      <c r="B1" s="846" t="s">
        <v>700</v>
      </c>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846"/>
      <c r="AU1" s="22"/>
      <c r="AV1" s="823" t="s">
        <v>34</v>
      </c>
      <c r="AW1" s="823"/>
      <c r="AX1" s="823"/>
      <c r="AY1" s="823"/>
      <c r="AZ1" s="824"/>
    </row>
    <row r="2" spans="1:52" s="1" customFormat="1" ht="27.95" customHeight="1" thickTop="1" thickBot="1">
      <c r="A2" s="854"/>
      <c r="B2" s="856" t="s">
        <v>0</v>
      </c>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856"/>
      <c r="AQ2" s="856"/>
      <c r="AR2" s="856"/>
      <c r="AS2" s="856"/>
      <c r="AT2" s="856"/>
      <c r="AU2" s="22"/>
      <c r="AV2" s="253" t="s">
        <v>35</v>
      </c>
      <c r="AW2" s="20" t="s">
        <v>36</v>
      </c>
      <c r="AX2" s="16" t="s">
        <v>37</v>
      </c>
      <c r="AY2" s="16" t="s">
        <v>38</v>
      </c>
      <c r="AZ2" s="16" t="s">
        <v>29</v>
      </c>
    </row>
    <row r="3" spans="1:52" s="1" customFormat="1" ht="25.5" customHeight="1" thickTop="1" thickBot="1">
      <c r="A3" s="855"/>
      <c r="B3" s="782" t="s">
        <v>49</v>
      </c>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2"/>
      <c r="AJ3" s="782"/>
      <c r="AK3" s="782"/>
      <c r="AL3" s="782"/>
      <c r="AM3" s="782"/>
      <c r="AN3" s="782"/>
      <c r="AO3" s="782"/>
      <c r="AP3" s="782"/>
      <c r="AQ3" s="782"/>
      <c r="AR3" s="782"/>
      <c r="AS3" s="782"/>
      <c r="AT3" s="782"/>
      <c r="AU3" s="23"/>
      <c r="AV3" s="28"/>
      <c r="AW3" s="21"/>
      <c r="AX3" s="17"/>
      <c r="AY3" s="18"/>
      <c r="AZ3" s="19"/>
    </row>
    <row r="4" spans="1:52" s="1" customFormat="1" ht="27.95" customHeight="1" thickTop="1" thickBot="1">
      <c r="A4" s="857" t="s">
        <v>583</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23"/>
      <c r="AV4" s="28"/>
      <c r="AW4" s="21"/>
      <c r="AX4" s="17"/>
      <c r="AY4" s="18"/>
      <c r="AZ4" s="19"/>
    </row>
    <row r="5" spans="1:52" s="1" customFormat="1" ht="27.95" customHeight="1" thickTop="1" thickBot="1">
      <c r="A5" s="825"/>
      <c r="B5" s="825"/>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c r="AR5" s="825"/>
      <c r="AS5" s="825"/>
      <c r="AT5" s="825"/>
      <c r="AU5" s="163"/>
      <c r="AV5" s="28"/>
      <c r="AW5" s="21"/>
      <c r="AX5" s="17"/>
      <c r="AY5" s="18"/>
      <c r="AZ5" s="19"/>
    </row>
    <row r="6" spans="1:52" ht="27.95" customHeight="1" thickBot="1">
      <c r="A6" s="830"/>
      <c r="B6" s="830"/>
      <c r="C6" s="830"/>
      <c r="D6" s="831"/>
      <c r="E6" s="832" t="s">
        <v>45</v>
      </c>
      <c r="F6" s="830"/>
      <c r="G6" s="830"/>
      <c r="H6" s="831"/>
      <c r="I6" s="29"/>
      <c r="J6" s="875" t="s">
        <v>311</v>
      </c>
      <c r="K6" s="875"/>
      <c r="L6" s="875"/>
      <c r="M6" s="875"/>
      <c r="N6" s="829" t="s">
        <v>44</v>
      </c>
      <c r="O6" s="829" t="s">
        <v>10</v>
      </c>
      <c r="P6" s="876" t="s">
        <v>1</v>
      </c>
      <c r="Q6" s="873" t="s">
        <v>2</v>
      </c>
      <c r="R6" s="873" t="s">
        <v>697</v>
      </c>
      <c r="S6" s="873" t="s">
        <v>3</v>
      </c>
      <c r="T6" s="873" t="s">
        <v>4</v>
      </c>
      <c r="U6" s="873" t="s">
        <v>5</v>
      </c>
      <c r="V6" s="873" t="s">
        <v>6</v>
      </c>
      <c r="W6" s="878" t="s">
        <v>7</v>
      </c>
      <c r="X6" s="878"/>
      <c r="Y6" s="878"/>
      <c r="Z6" s="878"/>
      <c r="AA6" s="843" t="s">
        <v>564</v>
      </c>
      <c r="AB6" s="844"/>
      <c r="AC6" s="844"/>
      <c r="AD6" s="844"/>
      <c r="AE6" s="844"/>
      <c r="AF6" s="844"/>
      <c r="AG6" s="845"/>
      <c r="AH6" s="248"/>
      <c r="AI6" s="248"/>
      <c r="AJ6" s="248"/>
      <c r="AK6" s="248"/>
      <c r="AL6" s="248"/>
      <c r="AM6" s="248"/>
      <c r="AN6" s="248"/>
      <c r="AO6" s="248"/>
      <c r="AP6" s="248"/>
      <c r="AQ6" s="248"/>
      <c r="AR6" s="248"/>
      <c r="AS6" s="879" t="s">
        <v>8</v>
      </c>
      <c r="AT6" s="871" t="s">
        <v>9</v>
      </c>
      <c r="AU6" s="164"/>
      <c r="AV6" s="20" t="s">
        <v>39</v>
      </c>
      <c r="AW6" s="15" t="s">
        <v>30</v>
      </c>
      <c r="AX6" s="16" t="s">
        <v>31</v>
      </c>
      <c r="AY6" s="16" t="s">
        <v>32</v>
      </c>
      <c r="AZ6" s="16" t="s">
        <v>33</v>
      </c>
    </row>
    <row r="7" spans="1:52" ht="68.25" customHeight="1" thickTop="1" thickBot="1">
      <c r="A7" s="6" t="s">
        <v>40</v>
      </c>
      <c r="B7" s="24" t="s">
        <v>312</v>
      </c>
      <c r="C7" s="24" t="s">
        <v>42</v>
      </c>
      <c r="D7" s="24" t="s">
        <v>43</v>
      </c>
      <c r="E7" s="24" t="s">
        <v>11</v>
      </c>
      <c r="F7" s="24" t="s">
        <v>52</v>
      </c>
      <c r="G7" s="24" t="s">
        <v>12</v>
      </c>
      <c r="H7" s="24" t="s">
        <v>698</v>
      </c>
      <c r="I7" s="24" t="s">
        <v>41</v>
      </c>
      <c r="J7" s="30" t="s">
        <v>46</v>
      </c>
      <c r="K7" s="24" t="s">
        <v>52</v>
      </c>
      <c r="L7" s="24" t="s">
        <v>12</v>
      </c>
      <c r="M7" s="24" t="s">
        <v>698</v>
      </c>
      <c r="N7" s="829"/>
      <c r="O7" s="829"/>
      <c r="P7" s="877"/>
      <c r="Q7" s="874"/>
      <c r="R7" s="874"/>
      <c r="S7" s="874"/>
      <c r="T7" s="874"/>
      <c r="U7" s="874"/>
      <c r="V7" s="874"/>
      <c r="W7" s="24" t="s">
        <v>13</v>
      </c>
      <c r="X7" s="24" t="s">
        <v>14</v>
      </c>
      <c r="Y7" s="4" t="s">
        <v>15</v>
      </c>
      <c r="Z7" s="4" t="s">
        <v>16</v>
      </c>
      <c r="AA7" s="4" t="s">
        <v>565</v>
      </c>
      <c r="AB7" s="4" t="s">
        <v>566</v>
      </c>
      <c r="AC7" s="4" t="s">
        <v>567</v>
      </c>
      <c r="AD7" s="4" t="s">
        <v>568</v>
      </c>
      <c r="AE7" s="4" t="s">
        <v>569</v>
      </c>
      <c r="AF7" s="4" t="s">
        <v>570</v>
      </c>
      <c r="AG7" s="4" t="s">
        <v>571</v>
      </c>
      <c r="AH7" s="252" t="s">
        <v>572</v>
      </c>
      <c r="AI7" s="252" t="s">
        <v>573</v>
      </c>
      <c r="AJ7" s="252" t="s">
        <v>574</v>
      </c>
      <c r="AK7" s="252" t="s">
        <v>575</v>
      </c>
      <c r="AL7" s="252" t="s">
        <v>576</v>
      </c>
      <c r="AM7" s="252" t="s">
        <v>577</v>
      </c>
      <c r="AN7" s="252" t="s">
        <v>578</v>
      </c>
      <c r="AO7" s="252" t="s">
        <v>579</v>
      </c>
      <c r="AP7" s="252" t="s">
        <v>580</v>
      </c>
      <c r="AQ7" s="252" t="s">
        <v>581</v>
      </c>
      <c r="AR7" s="252" t="s">
        <v>582</v>
      </c>
      <c r="AS7" s="880"/>
      <c r="AT7" s="872" t="s">
        <v>9</v>
      </c>
      <c r="AU7" s="164"/>
    </row>
    <row r="8" spans="1:52" s="1" customFormat="1" ht="131.25" customHeight="1" thickBot="1">
      <c r="A8" s="850" t="s">
        <v>49</v>
      </c>
      <c r="B8" s="847" t="s">
        <v>50</v>
      </c>
      <c r="C8" s="836" t="s">
        <v>219</v>
      </c>
      <c r="D8" s="833" t="s">
        <v>62</v>
      </c>
      <c r="E8" s="786" t="s">
        <v>59</v>
      </c>
      <c r="F8" s="786" t="s">
        <v>53</v>
      </c>
      <c r="G8" s="786" t="s">
        <v>51</v>
      </c>
      <c r="H8" s="786">
        <v>70</v>
      </c>
      <c r="I8" s="786" t="s">
        <v>54</v>
      </c>
      <c r="J8" s="32" t="s">
        <v>55</v>
      </c>
      <c r="K8" s="32" t="s">
        <v>17</v>
      </c>
      <c r="L8" s="33">
        <v>1</v>
      </c>
      <c r="M8" s="34">
        <v>1</v>
      </c>
      <c r="N8" s="788"/>
      <c r="O8" s="788" t="s">
        <v>61</v>
      </c>
      <c r="P8" s="402" t="s">
        <v>1193</v>
      </c>
      <c r="Q8" s="403">
        <v>1</v>
      </c>
      <c r="R8" s="404" t="s">
        <v>17</v>
      </c>
      <c r="S8" s="404">
        <v>0</v>
      </c>
      <c r="T8" s="404">
        <v>0</v>
      </c>
      <c r="U8" s="404">
        <v>0</v>
      </c>
      <c r="V8" s="404">
        <v>1</v>
      </c>
      <c r="W8" s="786" t="s">
        <v>762</v>
      </c>
      <c r="X8" s="898"/>
      <c r="Y8" s="812">
        <f>98000000+98000000+84000000+237067097+56277977+74970000+60000</f>
        <v>648375074</v>
      </c>
      <c r="Z8" s="812">
        <f>+Y8</f>
        <v>648375074</v>
      </c>
      <c r="AA8" s="76">
        <v>0</v>
      </c>
      <c r="AB8" s="492">
        <v>0</v>
      </c>
      <c r="AC8" s="492">
        <v>0</v>
      </c>
      <c r="AD8" s="492">
        <v>0</v>
      </c>
      <c r="AE8" s="246"/>
      <c r="AF8" s="246"/>
      <c r="AG8" s="246"/>
      <c r="AH8" s="249"/>
      <c r="AI8" s="249"/>
      <c r="AJ8" s="249"/>
      <c r="AK8" s="249"/>
      <c r="AL8" s="249"/>
      <c r="AM8" s="249"/>
      <c r="AN8" s="249"/>
      <c r="AO8" s="249"/>
      <c r="AP8" s="249"/>
      <c r="AQ8" s="249"/>
      <c r="AR8" s="249"/>
      <c r="AS8" s="31" t="s">
        <v>25</v>
      </c>
      <c r="AT8" s="35" t="s">
        <v>25</v>
      </c>
      <c r="AU8" s="809" t="s">
        <v>347</v>
      </c>
    </row>
    <row r="9" spans="1:52" s="1" customFormat="1" ht="131.25" customHeight="1" thickBot="1">
      <c r="A9" s="851"/>
      <c r="B9" s="848"/>
      <c r="C9" s="837"/>
      <c r="D9" s="834"/>
      <c r="E9" s="787"/>
      <c r="F9" s="815"/>
      <c r="G9" s="815"/>
      <c r="H9" s="815"/>
      <c r="I9" s="826"/>
      <c r="J9" s="839" t="s">
        <v>56</v>
      </c>
      <c r="K9" s="786" t="s">
        <v>17</v>
      </c>
      <c r="L9" s="840">
        <v>1</v>
      </c>
      <c r="M9" s="842">
        <v>1</v>
      </c>
      <c r="N9" s="827"/>
      <c r="O9" s="827"/>
      <c r="P9" s="405" t="s">
        <v>702</v>
      </c>
      <c r="Q9" s="406">
        <v>1</v>
      </c>
      <c r="R9" s="407" t="s">
        <v>17</v>
      </c>
      <c r="S9" s="407">
        <v>0</v>
      </c>
      <c r="T9" s="407">
        <v>0</v>
      </c>
      <c r="U9" s="404">
        <v>1</v>
      </c>
      <c r="V9" s="407">
        <v>0</v>
      </c>
      <c r="W9" s="826"/>
      <c r="X9" s="899"/>
      <c r="Y9" s="813"/>
      <c r="Z9" s="813"/>
      <c r="AA9" s="76">
        <v>0</v>
      </c>
      <c r="AB9" s="492">
        <v>0</v>
      </c>
      <c r="AC9" s="492">
        <v>1</v>
      </c>
      <c r="AD9" s="492">
        <v>0</v>
      </c>
      <c r="AE9" s="246"/>
      <c r="AF9" s="246"/>
      <c r="AG9" s="246"/>
      <c r="AH9" s="249"/>
      <c r="AI9" s="249"/>
      <c r="AJ9" s="249"/>
      <c r="AK9" s="249"/>
      <c r="AL9" s="249"/>
      <c r="AM9" s="249"/>
      <c r="AN9" s="249"/>
      <c r="AO9" s="249"/>
      <c r="AP9" s="249"/>
      <c r="AQ9" s="249"/>
      <c r="AR9" s="249"/>
      <c r="AS9" s="31" t="s">
        <v>25</v>
      </c>
      <c r="AT9" s="35" t="s">
        <v>25</v>
      </c>
      <c r="AU9" s="810"/>
    </row>
    <row r="10" spans="1:52" s="1" customFormat="1" ht="90.75" customHeight="1" thickBot="1">
      <c r="A10" s="851"/>
      <c r="B10" s="848"/>
      <c r="C10" s="837"/>
      <c r="D10" s="834"/>
      <c r="E10" s="36" t="s">
        <v>60</v>
      </c>
      <c r="F10" s="31" t="s">
        <v>53</v>
      </c>
      <c r="G10" s="31" t="s">
        <v>51</v>
      </c>
      <c r="H10" s="31">
        <v>100</v>
      </c>
      <c r="I10" s="826"/>
      <c r="J10" s="787"/>
      <c r="K10" s="815"/>
      <c r="L10" s="841"/>
      <c r="M10" s="789"/>
      <c r="N10" s="827"/>
      <c r="O10" s="827"/>
      <c r="P10" s="408" t="s">
        <v>364</v>
      </c>
      <c r="Q10" s="409">
        <v>1</v>
      </c>
      <c r="R10" s="410" t="s">
        <v>17</v>
      </c>
      <c r="S10" s="410">
        <v>0</v>
      </c>
      <c r="T10" s="410">
        <v>0</v>
      </c>
      <c r="U10" s="404">
        <v>0</v>
      </c>
      <c r="V10" s="410">
        <v>1</v>
      </c>
      <c r="W10" s="826"/>
      <c r="X10" s="899"/>
      <c r="Y10" s="813"/>
      <c r="Z10" s="813"/>
      <c r="AA10" s="76">
        <v>0</v>
      </c>
      <c r="AB10" s="492">
        <v>0</v>
      </c>
      <c r="AC10" s="492">
        <v>0</v>
      </c>
      <c r="AD10" s="492">
        <v>0</v>
      </c>
      <c r="AE10" s="246"/>
      <c r="AF10" s="246"/>
      <c r="AG10" s="246"/>
      <c r="AH10" s="249"/>
      <c r="AI10" s="249"/>
      <c r="AJ10" s="249"/>
      <c r="AK10" s="249"/>
      <c r="AL10" s="249"/>
      <c r="AM10" s="249"/>
      <c r="AN10" s="249"/>
      <c r="AO10" s="249"/>
      <c r="AP10" s="249"/>
      <c r="AQ10" s="249"/>
      <c r="AR10" s="249"/>
      <c r="AS10" s="31" t="s">
        <v>25</v>
      </c>
      <c r="AT10" s="35" t="s">
        <v>25</v>
      </c>
      <c r="AU10" s="810"/>
    </row>
    <row r="11" spans="1:52" s="1" customFormat="1" ht="93.75" customHeight="1" thickBot="1">
      <c r="A11" s="851"/>
      <c r="B11" s="848"/>
      <c r="C11" s="838"/>
      <c r="D11" s="835"/>
      <c r="E11" s="43" t="s">
        <v>58</v>
      </c>
      <c r="F11" s="44" t="s">
        <v>53</v>
      </c>
      <c r="G11" s="44" t="s">
        <v>51</v>
      </c>
      <c r="H11" s="44">
        <v>60</v>
      </c>
      <c r="I11" s="815"/>
      <c r="J11" s="45" t="s">
        <v>57</v>
      </c>
      <c r="K11" s="46" t="s">
        <v>17</v>
      </c>
      <c r="L11" s="47">
        <v>0</v>
      </c>
      <c r="M11" s="48">
        <v>15</v>
      </c>
      <c r="N11" s="828"/>
      <c r="O11" s="828"/>
      <c r="P11" s="411" t="s">
        <v>361</v>
      </c>
      <c r="Q11" s="412">
        <v>7</v>
      </c>
      <c r="R11" s="410" t="s">
        <v>17</v>
      </c>
      <c r="S11" s="413">
        <v>0</v>
      </c>
      <c r="T11" s="413">
        <v>0</v>
      </c>
      <c r="U11" s="404">
        <v>0</v>
      </c>
      <c r="V11" s="413">
        <v>7</v>
      </c>
      <c r="W11" s="815"/>
      <c r="X11" s="900"/>
      <c r="Y11" s="814"/>
      <c r="Z11" s="814"/>
      <c r="AA11" s="76">
        <v>0</v>
      </c>
      <c r="AB11" s="492">
        <v>0</v>
      </c>
      <c r="AC11" s="492">
        <v>0</v>
      </c>
      <c r="AD11" s="492">
        <v>7</v>
      </c>
      <c r="AE11" s="246"/>
      <c r="AF11" s="246"/>
      <c r="AG11" s="246"/>
      <c r="AH11" s="249"/>
      <c r="AI11" s="249"/>
      <c r="AJ11" s="249"/>
      <c r="AK11" s="249"/>
      <c r="AL11" s="249"/>
      <c r="AM11" s="249"/>
      <c r="AN11" s="249"/>
      <c r="AO11" s="249"/>
      <c r="AP11" s="249"/>
      <c r="AQ11" s="249"/>
      <c r="AR11" s="249"/>
      <c r="AS11" s="31" t="s">
        <v>25</v>
      </c>
      <c r="AT11" s="35" t="s">
        <v>25</v>
      </c>
      <c r="AU11" s="811"/>
    </row>
    <row r="12" spans="1:52" s="1" customFormat="1" ht="93.75" customHeight="1" thickBot="1">
      <c r="A12" s="851"/>
      <c r="B12" s="848"/>
      <c r="C12" s="396"/>
      <c r="D12" s="397"/>
      <c r="E12" s="395"/>
      <c r="F12" s="168"/>
      <c r="G12" s="168"/>
      <c r="H12" s="168"/>
      <c r="I12" s="168"/>
      <c r="J12" s="45" t="s">
        <v>704</v>
      </c>
      <c r="K12" s="37" t="s">
        <v>18</v>
      </c>
      <c r="L12" s="48">
        <v>20</v>
      </c>
      <c r="M12" s="48">
        <v>90</v>
      </c>
      <c r="N12" s="170"/>
      <c r="O12" s="170"/>
      <c r="P12" s="414" t="s">
        <v>705</v>
      </c>
      <c r="Q12" s="415" t="s">
        <v>19</v>
      </c>
      <c r="R12" s="410">
        <v>7</v>
      </c>
      <c r="S12" s="416">
        <v>1</v>
      </c>
      <c r="T12" s="416">
        <v>2</v>
      </c>
      <c r="U12" s="404">
        <v>2</v>
      </c>
      <c r="V12" s="416">
        <v>2</v>
      </c>
      <c r="W12" s="197"/>
      <c r="X12" s="898"/>
      <c r="Y12" s="812">
        <f>66000000+48000000</f>
        <v>114000000</v>
      </c>
      <c r="Z12" s="812">
        <f>+Y12</f>
        <v>114000000</v>
      </c>
      <c r="AA12" s="76">
        <v>1</v>
      </c>
      <c r="AB12" s="493">
        <v>2</v>
      </c>
      <c r="AC12" s="493">
        <v>2</v>
      </c>
      <c r="AD12" s="492">
        <v>2</v>
      </c>
      <c r="AE12" s="246"/>
      <c r="AF12" s="246"/>
      <c r="AG12" s="246"/>
      <c r="AH12" s="249"/>
      <c r="AI12" s="249"/>
      <c r="AJ12" s="249"/>
      <c r="AK12" s="249"/>
      <c r="AL12" s="249"/>
      <c r="AM12" s="249"/>
      <c r="AN12" s="249"/>
      <c r="AO12" s="249"/>
      <c r="AP12" s="249"/>
      <c r="AQ12" s="249"/>
      <c r="AR12" s="249"/>
      <c r="AS12" s="393"/>
      <c r="AT12" s="398"/>
      <c r="AU12" s="167"/>
    </row>
    <row r="13" spans="1:52" s="1" customFormat="1" ht="115.5" customHeight="1" thickBot="1">
      <c r="A13" s="851"/>
      <c r="B13" s="848"/>
      <c r="C13" s="858" t="s">
        <v>324</v>
      </c>
      <c r="D13" s="837" t="s">
        <v>325</v>
      </c>
      <c r="E13" s="826" t="s">
        <v>326</v>
      </c>
      <c r="F13" s="826" t="s">
        <v>82</v>
      </c>
      <c r="G13" s="826">
        <v>1.45</v>
      </c>
      <c r="H13" s="826">
        <v>1.49</v>
      </c>
      <c r="I13" s="826" t="s">
        <v>327</v>
      </c>
      <c r="J13" s="37" t="s">
        <v>64</v>
      </c>
      <c r="K13" s="37" t="s">
        <v>18</v>
      </c>
      <c r="L13" s="38">
        <v>20</v>
      </c>
      <c r="M13" s="39">
        <v>90</v>
      </c>
      <c r="N13" s="827"/>
      <c r="O13" s="827" t="s">
        <v>328</v>
      </c>
      <c r="P13" s="417" t="s">
        <v>706</v>
      </c>
      <c r="Q13" s="409" t="s">
        <v>19</v>
      </c>
      <c r="R13" s="410">
        <v>7</v>
      </c>
      <c r="S13" s="410">
        <v>1</v>
      </c>
      <c r="T13" s="410">
        <v>2</v>
      </c>
      <c r="U13" s="404">
        <v>2</v>
      </c>
      <c r="V13" s="410">
        <v>2</v>
      </c>
      <c r="W13" s="174"/>
      <c r="X13" s="899"/>
      <c r="Y13" s="813"/>
      <c r="Z13" s="813"/>
      <c r="AA13" s="76">
        <v>1</v>
      </c>
      <c r="AB13" s="493">
        <v>2</v>
      </c>
      <c r="AC13" s="493">
        <v>2</v>
      </c>
      <c r="AD13" s="492">
        <v>2</v>
      </c>
      <c r="AE13" s="246"/>
      <c r="AF13" s="246"/>
      <c r="AG13" s="246"/>
      <c r="AH13" s="246"/>
      <c r="AI13" s="246"/>
      <c r="AJ13" s="246"/>
      <c r="AK13" s="246"/>
      <c r="AL13" s="246"/>
      <c r="AM13" s="246"/>
      <c r="AN13" s="246"/>
      <c r="AO13" s="246"/>
      <c r="AP13" s="246"/>
      <c r="AQ13" s="246"/>
      <c r="AR13" s="246"/>
      <c r="AS13" s="41" t="s">
        <v>21</v>
      </c>
      <c r="AT13" s="41" t="s">
        <v>21</v>
      </c>
      <c r="AU13" s="809" t="s">
        <v>355</v>
      </c>
    </row>
    <row r="14" spans="1:52" s="1" customFormat="1" ht="113.25" customHeight="1" thickBot="1">
      <c r="A14" s="851"/>
      <c r="B14" s="848"/>
      <c r="C14" s="858"/>
      <c r="D14" s="837"/>
      <c r="E14" s="826"/>
      <c r="F14" s="826"/>
      <c r="G14" s="826"/>
      <c r="H14" s="826"/>
      <c r="I14" s="826"/>
      <c r="J14" s="37" t="s">
        <v>65</v>
      </c>
      <c r="K14" s="37" t="s">
        <v>18</v>
      </c>
      <c r="L14" s="38">
        <v>20</v>
      </c>
      <c r="M14" s="39">
        <v>90</v>
      </c>
      <c r="N14" s="827"/>
      <c r="O14" s="827"/>
      <c r="P14" s="408" t="s">
        <v>707</v>
      </c>
      <c r="Q14" s="409" t="s">
        <v>17</v>
      </c>
      <c r="R14" s="410">
        <v>7</v>
      </c>
      <c r="S14" s="410">
        <v>1</v>
      </c>
      <c r="T14" s="410">
        <v>2</v>
      </c>
      <c r="U14" s="404">
        <v>3</v>
      </c>
      <c r="V14" s="410">
        <v>1</v>
      </c>
      <c r="W14" s="826" t="s">
        <v>763</v>
      </c>
      <c r="X14" s="899"/>
      <c r="Y14" s="813"/>
      <c r="Z14" s="813"/>
      <c r="AA14" s="76">
        <v>1</v>
      </c>
      <c r="AB14" s="493">
        <v>2</v>
      </c>
      <c r="AC14" s="493">
        <v>3</v>
      </c>
      <c r="AD14" s="492">
        <v>1</v>
      </c>
      <c r="AE14" s="246"/>
      <c r="AF14" s="246"/>
      <c r="AG14" s="246"/>
      <c r="AH14" s="246"/>
      <c r="AI14" s="246"/>
      <c r="AJ14" s="246"/>
      <c r="AK14" s="246"/>
      <c r="AL14" s="246"/>
      <c r="AM14" s="246"/>
      <c r="AN14" s="246"/>
      <c r="AO14" s="246"/>
      <c r="AP14" s="246"/>
      <c r="AQ14" s="246"/>
      <c r="AR14" s="246"/>
      <c r="AS14" s="41" t="s">
        <v>21</v>
      </c>
      <c r="AT14" s="41" t="s">
        <v>21</v>
      </c>
      <c r="AU14" s="810"/>
    </row>
    <row r="15" spans="1:52" s="1" customFormat="1" ht="123" customHeight="1" thickBot="1">
      <c r="A15" s="851"/>
      <c r="B15" s="848"/>
      <c r="C15" s="858"/>
      <c r="D15" s="837"/>
      <c r="E15" s="826"/>
      <c r="F15" s="826" t="s">
        <v>63</v>
      </c>
      <c r="G15" s="826"/>
      <c r="H15" s="826"/>
      <c r="I15" s="826"/>
      <c r="J15" s="37" t="s">
        <v>66</v>
      </c>
      <c r="K15" s="37" t="s">
        <v>18</v>
      </c>
      <c r="L15" s="38">
        <v>100</v>
      </c>
      <c r="M15" s="39">
        <v>100</v>
      </c>
      <c r="N15" s="827"/>
      <c r="O15" s="827"/>
      <c r="P15" s="418" t="s">
        <v>394</v>
      </c>
      <c r="Q15" s="409" t="s">
        <v>19</v>
      </c>
      <c r="R15" s="410">
        <v>1</v>
      </c>
      <c r="S15" s="410">
        <v>0</v>
      </c>
      <c r="T15" s="410">
        <v>0</v>
      </c>
      <c r="U15" s="404">
        <v>0</v>
      </c>
      <c r="V15" s="410">
        <v>1</v>
      </c>
      <c r="W15" s="826"/>
      <c r="X15" s="899"/>
      <c r="Y15" s="813"/>
      <c r="Z15" s="813"/>
      <c r="AA15" s="76">
        <v>0</v>
      </c>
      <c r="AB15" s="493">
        <v>0</v>
      </c>
      <c r="AC15" s="493">
        <v>0</v>
      </c>
      <c r="AD15" s="492">
        <v>1</v>
      </c>
      <c r="AE15" s="246"/>
      <c r="AF15" s="246"/>
      <c r="AG15" s="246"/>
      <c r="AH15" s="246"/>
      <c r="AI15" s="246"/>
      <c r="AJ15" s="246"/>
      <c r="AK15" s="246"/>
      <c r="AL15" s="246"/>
      <c r="AM15" s="246"/>
      <c r="AN15" s="246"/>
      <c r="AO15" s="246"/>
      <c r="AP15" s="246"/>
      <c r="AQ15" s="246"/>
      <c r="AR15" s="246"/>
      <c r="AS15" s="41" t="s">
        <v>21</v>
      </c>
      <c r="AT15" s="41" t="s">
        <v>21</v>
      </c>
      <c r="AU15" s="810"/>
    </row>
    <row r="16" spans="1:52" s="1" customFormat="1" ht="123" customHeight="1" thickBot="1">
      <c r="A16" s="851"/>
      <c r="B16" s="848"/>
      <c r="C16" s="858"/>
      <c r="D16" s="837"/>
      <c r="E16" s="826"/>
      <c r="F16" s="826"/>
      <c r="G16" s="826"/>
      <c r="H16" s="826"/>
      <c r="I16" s="826"/>
      <c r="J16" s="45" t="s">
        <v>67</v>
      </c>
      <c r="K16" s="45" t="s">
        <v>68</v>
      </c>
      <c r="L16" s="48" t="s">
        <v>51</v>
      </c>
      <c r="M16" s="48">
        <v>1</v>
      </c>
      <c r="N16" s="827"/>
      <c r="O16" s="827"/>
      <c r="P16" s="419" t="s">
        <v>395</v>
      </c>
      <c r="Q16" s="409" t="s">
        <v>19</v>
      </c>
      <c r="R16" s="415">
        <v>1</v>
      </c>
      <c r="S16" s="416">
        <v>1</v>
      </c>
      <c r="T16" s="416">
        <v>0</v>
      </c>
      <c r="U16" s="404">
        <v>0</v>
      </c>
      <c r="V16" s="416">
        <v>0</v>
      </c>
      <c r="W16" s="815"/>
      <c r="X16" s="900"/>
      <c r="Y16" s="814"/>
      <c r="Z16" s="814"/>
      <c r="AA16" s="76">
        <v>1</v>
      </c>
      <c r="AB16" s="493">
        <v>0</v>
      </c>
      <c r="AC16" s="493">
        <v>0</v>
      </c>
      <c r="AD16" s="492">
        <v>0</v>
      </c>
      <c r="AE16" s="246"/>
      <c r="AF16" s="246"/>
      <c r="AG16" s="246"/>
      <c r="AH16" s="246"/>
      <c r="AI16" s="246"/>
      <c r="AJ16" s="246"/>
      <c r="AK16" s="246"/>
      <c r="AL16" s="246"/>
      <c r="AM16" s="246"/>
      <c r="AN16" s="246"/>
      <c r="AO16" s="246"/>
      <c r="AP16" s="246"/>
      <c r="AQ16" s="246"/>
      <c r="AR16" s="246"/>
      <c r="AS16" s="41" t="s">
        <v>21</v>
      </c>
      <c r="AT16" s="41" t="s">
        <v>21</v>
      </c>
      <c r="AU16" s="810"/>
    </row>
    <row r="17" spans="1:47" s="1" customFormat="1" ht="115.5" customHeight="1" thickBot="1">
      <c r="A17" s="851"/>
      <c r="B17" s="848"/>
      <c r="C17" s="836" t="s">
        <v>220</v>
      </c>
      <c r="D17" s="786" t="s">
        <v>69</v>
      </c>
      <c r="E17" s="197" t="s">
        <v>70</v>
      </c>
      <c r="F17" s="786" t="s">
        <v>53</v>
      </c>
      <c r="G17" s="786">
        <v>95</v>
      </c>
      <c r="H17" s="786">
        <v>95</v>
      </c>
      <c r="I17" s="786" t="s">
        <v>71</v>
      </c>
      <c r="J17" s="786" t="s">
        <v>72</v>
      </c>
      <c r="K17" s="786" t="s">
        <v>17</v>
      </c>
      <c r="L17" s="788" t="s">
        <v>51</v>
      </c>
      <c r="M17" s="788">
        <v>4</v>
      </c>
      <c r="N17" s="842"/>
      <c r="O17" s="839" t="s">
        <v>93</v>
      </c>
      <c r="P17" s="402" t="s">
        <v>703</v>
      </c>
      <c r="Q17" s="409" t="s">
        <v>19</v>
      </c>
      <c r="R17" s="404">
        <v>4</v>
      </c>
      <c r="S17" s="404">
        <v>1</v>
      </c>
      <c r="T17" s="404">
        <v>1</v>
      </c>
      <c r="U17" s="404">
        <v>1</v>
      </c>
      <c r="V17" s="404">
        <v>1</v>
      </c>
      <c r="W17" s="786" t="s">
        <v>763</v>
      </c>
      <c r="X17" s="786"/>
      <c r="Y17" s="812">
        <f>48000000+66000000</f>
        <v>114000000</v>
      </c>
      <c r="Z17" s="812">
        <f>+Y17</f>
        <v>114000000</v>
      </c>
      <c r="AA17" s="76">
        <v>0</v>
      </c>
      <c r="AB17" s="492">
        <v>3</v>
      </c>
      <c r="AC17" s="492">
        <v>2</v>
      </c>
      <c r="AD17" s="492">
        <v>1</v>
      </c>
      <c r="AE17" s="246"/>
      <c r="AF17" s="246"/>
      <c r="AG17" s="246"/>
      <c r="AH17" s="229"/>
      <c r="AI17" s="229"/>
      <c r="AJ17" s="229"/>
      <c r="AK17" s="229"/>
      <c r="AL17" s="229"/>
      <c r="AM17" s="229"/>
      <c r="AN17" s="229"/>
      <c r="AO17" s="229"/>
      <c r="AP17" s="229"/>
      <c r="AQ17" s="229"/>
      <c r="AR17" s="229"/>
      <c r="AS17" s="786" t="s">
        <v>28</v>
      </c>
      <c r="AT17" s="786" t="s">
        <v>28</v>
      </c>
      <c r="AU17" s="809" t="s">
        <v>356</v>
      </c>
    </row>
    <row r="18" spans="1:47" s="1" customFormat="1" ht="115.5" customHeight="1" thickBot="1">
      <c r="A18" s="851"/>
      <c r="B18" s="848"/>
      <c r="C18" s="837"/>
      <c r="D18" s="826"/>
      <c r="E18" s="174"/>
      <c r="F18" s="826"/>
      <c r="G18" s="826"/>
      <c r="H18" s="826"/>
      <c r="I18" s="826"/>
      <c r="J18" s="787"/>
      <c r="K18" s="787"/>
      <c r="L18" s="789"/>
      <c r="M18" s="789"/>
      <c r="N18" s="789"/>
      <c r="O18" s="787"/>
      <c r="P18" s="420" t="s">
        <v>359</v>
      </c>
      <c r="Q18" s="409" t="s">
        <v>19</v>
      </c>
      <c r="R18" s="410">
        <v>4</v>
      </c>
      <c r="S18" s="421">
        <v>1</v>
      </c>
      <c r="T18" s="421">
        <v>1</v>
      </c>
      <c r="U18" s="404">
        <v>1</v>
      </c>
      <c r="V18" s="421">
        <v>1</v>
      </c>
      <c r="W18" s="826"/>
      <c r="X18" s="826"/>
      <c r="Y18" s="813"/>
      <c r="Z18" s="813"/>
      <c r="AA18" s="76">
        <v>1</v>
      </c>
      <c r="AB18" s="492">
        <v>1</v>
      </c>
      <c r="AC18" s="492">
        <v>1</v>
      </c>
      <c r="AD18" s="492">
        <v>1</v>
      </c>
      <c r="AE18" s="246"/>
      <c r="AF18" s="246"/>
      <c r="AG18" s="246"/>
      <c r="AH18" s="249"/>
      <c r="AI18" s="249"/>
      <c r="AJ18" s="249"/>
      <c r="AK18" s="249"/>
      <c r="AL18" s="249"/>
      <c r="AM18" s="249"/>
      <c r="AN18" s="249"/>
      <c r="AO18" s="249"/>
      <c r="AP18" s="249"/>
      <c r="AQ18" s="249"/>
      <c r="AR18" s="249"/>
      <c r="AS18" s="787"/>
      <c r="AT18" s="815"/>
      <c r="AU18" s="810"/>
    </row>
    <row r="19" spans="1:47" s="1" customFormat="1" ht="135.75" customHeight="1" thickBot="1">
      <c r="A19" s="852"/>
      <c r="B19" s="849"/>
      <c r="C19" s="837"/>
      <c r="D19" s="826"/>
      <c r="E19" s="174"/>
      <c r="F19" s="826"/>
      <c r="G19" s="826"/>
      <c r="H19" s="826"/>
      <c r="I19" s="826"/>
      <c r="J19" s="50" t="s">
        <v>73</v>
      </c>
      <c r="K19" s="50" t="s">
        <v>18</v>
      </c>
      <c r="L19" s="51">
        <v>100</v>
      </c>
      <c r="M19" s="51">
        <v>100</v>
      </c>
      <c r="N19" s="52"/>
      <c r="O19" s="50" t="s">
        <v>94</v>
      </c>
      <c r="P19" s="414" t="s">
        <v>718</v>
      </c>
      <c r="Q19" s="409" t="s">
        <v>19</v>
      </c>
      <c r="R19" s="410">
        <v>4</v>
      </c>
      <c r="S19" s="416">
        <v>1</v>
      </c>
      <c r="T19" s="416">
        <v>1</v>
      </c>
      <c r="U19" s="404">
        <v>1</v>
      </c>
      <c r="V19" s="416">
        <v>1</v>
      </c>
      <c r="W19" s="826"/>
      <c r="X19" s="826"/>
      <c r="Y19" s="813"/>
      <c r="Z19" s="813"/>
      <c r="AA19" s="76">
        <v>1</v>
      </c>
      <c r="AB19" s="492">
        <v>1</v>
      </c>
      <c r="AC19" s="492">
        <v>1</v>
      </c>
      <c r="AD19" s="492">
        <v>1</v>
      </c>
      <c r="AE19" s="246"/>
      <c r="AF19" s="246"/>
      <c r="AG19" s="246"/>
      <c r="AH19" s="229"/>
      <c r="AI19" s="229"/>
      <c r="AJ19" s="229"/>
      <c r="AK19" s="229"/>
      <c r="AL19" s="229"/>
      <c r="AM19" s="229"/>
      <c r="AN19" s="229"/>
      <c r="AO19" s="229"/>
      <c r="AP19" s="229"/>
      <c r="AQ19" s="229"/>
      <c r="AR19" s="229"/>
      <c r="AS19" s="786" t="s">
        <v>28</v>
      </c>
      <c r="AT19" s="786" t="s">
        <v>28</v>
      </c>
      <c r="AU19" s="811"/>
    </row>
    <row r="20" spans="1:47" s="1" customFormat="1" ht="135.75" customHeight="1" thickBot="1">
      <c r="A20" s="171"/>
      <c r="B20" s="175"/>
      <c r="C20" s="169"/>
      <c r="D20" s="815"/>
      <c r="E20" s="168"/>
      <c r="F20" s="168"/>
      <c r="G20" s="168"/>
      <c r="H20" s="168">
        <v>0</v>
      </c>
      <c r="I20" s="168"/>
      <c r="J20" s="174"/>
      <c r="K20" s="174"/>
      <c r="L20" s="170"/>
      <c r="M20" s="170"/>
      <c r="N20" s="176"/>
      <c r="O20" s="174"/>
      <c r="P20" s="408" t="s">
        <v>360</v>
      </c>
      <c r="Q20" s="409" t="s">
        <v>19</v>
      </c>
      <c r="R20" s="410">
        <v>4</v>
      </c>
      <c r="S20" s="410">
        <v>1</v>
      </c>
      <c r="T20" s="410">
        <v>1</v>
      </c>
      <c r="U20" s="404">
        <v>1</v>
      </c>
      <c r="V20" s="410">
        <v>1</v>
      </c>
      <c r="W20" s="787"/>
      <c r="X20" s="787"/>
      <c r="Y20" s="814"/>
      <c r="Z20" s="814"/>
      <c r="AA20" s="76">
        <v>1</v>
      </c>
      <c r="AB20" s="492">
        <v>1</v>
      </c>
      <c r="AC20" s="492">
        <v>1</v>
      </c>
      <c r="AD20" s="492">
        <v>1</v>
      </c>
      <c r="AE20" s="246"/>
      <c r="AF20" s="246"/>
      <c r="AG20" s="246"/>
      <c r="AH20" s="249"/>
      <c r="AI20" s="249"/>
      <c r="AJ20" s="249"/>
      <c r="AK20" s="249"/>
      <c r="AL20" s="249"/>
      <c r="AM20" s="249"/>
      <c r="AN20" s="249"/>
      <c r="AO20" s="249"/>
      <c r="AP20" s="249"/>
      <c r="AQ20" s="249"/>
      <c r="AR20" s="249"/>
      <c r="AS20" s="787"/>
      <c r="AT20" s="815"/>
      <c r="AU20" s="167"/>
    </row>
    <row r="21" spans="1:47" s="1" customFormat="1" ht="120.75" customHeight="1">
      <c r="A21" s="859" t="s">
        <v>74</v>
      </c>
      <c r="B21" s="865" t="s">
        <v>75</v>
      </c>
      <c r="C21" s="862" t="s">
        <v>221</v>
      </c>
      <c r="D21" s="799" t="s">
        <v>76</v>
      </c>
      <c r="E21" s="799" t="s">
        <v>77</v>
      </c>
      <c r="F21" s="799" t="s">
        <v>53</v>
      </c>
      <c r="G21" s="799">
        <v>34.4</v>
      </c>
      <c r="H21" s="799">
        <v>20</v>
      </c>
      <c r="I21" s="799" t="s">
        <v>83</v>
      </c>
      <c r="J21" s="799" t="s">
        <v>84</v>
      </c>
      <c r="K21" s="799" t="s">
        <v>18</v>
      </c>
      <c r="L21" s="885">
        <v>83</v>
      </c>
      <c r="M21" s="822">
        <v>85</v>
      </c>
      <c r="N21" s="822"/>
      <c r="O21" s="822" t="s">
        <v>95</v>
      </c>
      <c r="P21" s="422" t="s">
        <v>468</v>
      </c>
      <c r="Q21" s="504" t="s">
        <v>358</v>
      </c>
      <c r="R21" s="504">
        <v>80</v>
      </c>
      <c r="S21" s="635">
        <v>80</v>
      </c>
      <c r="T21" s="635">
        <v>80</v>
      </c>
      <c r="U21" s="635">
        <v>80</v>
      </c>
      <c r="V21" s="635">
        <v>80</v>
      </c>
      <c r="W21" s="816" t="s">
        <v>764</v>
      </c>
      <c r="X21" s="816"/>
      <c r="Y21" s="725">
        <f>63000000+63000000+60000000+63000000+60000000+40800000+428400+100000000+79380000+48000000+48000000+53119677+108672245+40114580+42018008+46081013+46018008+40114580+48320659+2086393776</f>
        <v>3136460946</v>
      </c>
      <c r="Z21" s="818">
        <f>+Y21</f>
        <v>3136460946</v>
      </c>
      <c r="AA21" s="635">
        <v>80</v>
      </c>
      <c r="AB21" s="663">
        <v>80</v>
      </c>
      <c r="AC21" s="495">
        <v>80</v>
      </c>
      <c r="AD21" s="673">
        <v>80</v>
      </c>
      <c r="AE21" s="287"/>
      <c r="AF21" s="58"/>
      <c r="AG21" s="58"/>
      <c r="AH21" s="58"/>
      <c r="AI21" s="58"/>
      <c r="AJ21" s="58"/>
      <c r="AK21" s="58"/>
      <c r="AL21" s="58"/>
      <c r="AM21" s="58"/>
      <c r="AN21" s="58"/>
      <c r="AO21" s="58"/>
      <c r="AP21" s="58"/>
      <c r="AQ21" s="58"/>
      <c r="AR21" s="58"/>
      <c r="AS21" s="54" t="s">
        <v>22</v>
      </c>
      <c r="AT21" s="54" t="s">
        <v>22</v>
      </c>
      <c r="AU21" s="809" t="s">
        <v>336</v>
      </c>
    </row>
    <row r="22" spans="1:47" s="1" customFormat="1" ht="120.75" customHeight="1">
      <c r="A22" s="860"/>
      <c r="B22" s="866"/>
      <c r="C22" s="863"/>
      <c r="D22" s="800"/>
      <c r="E22" s="800"/>
      <c r="F22" s="800"/>
      <c r="G22" s="800"/>
      <c r="H22" s="800"/>
      <c r="I22" s="800"/>
      <c r="J22" s="800"/>
      <c r="K22" s="800"/>
      <c r="L22" s="886"/>
      <c r="M22" s="784"/>
      <c r="N22" s="784"/>
      <c r="O22" s="784"/>
      <c r="P22" s="418" t="s">
        <v>658</v>
      </c>
      <c r="Q22" s="444" t="s">
        <v>358</v>
      </c>
      <c r="R22" s="444">
        <v>85</v>
      </c>
      <c r="S22" s="444">
        <v>85</v>
      </c>
      <c r="T22" s="444">
        <v>85</v>
      </c>
      <c r="U22" s="444">
        <v>85</v>
      </c>
      <c r="V22" s="444">
        <v>85</v>
      </c>
      <c r="W22" s="719"/>
      <c r="X22" s="719"/>
      <c r="Y22" s="726"/>
      <c r="Z22" s="719"/>
      <c r="AA22" s="635">
        <v>85</v>
      </c>
      <c r="AB22" s="663">
        <v>85</v>
      </c>
      <c r="AC22" s="495">
        <v>85</v>
      </c>
      <c r="AD22" s="673">
        <v>90</v>
      </c>
      <c r="AE22" s="287"/>
      <c r="AF22" s="58"/>
      <c r="AG22" s="58"/>
      <c r="AH22" s="58"/>
      <c r="AI22" s="58"/>
      <c r="AJ22" s="58"/>
      <c r="AK22" s="58"/>
      <c r="AL22" s="58"/>
      <c r="AM22" s="58"/>
      <c r="AN22" s="58"/>
      <c r="AO22" s="58"/>
      <c r="AP22" s="58"/>
      <c r="AQ22" s="58"/>
      <c r="AR22" s="58"/>
      <c r="AS22" s="54"/>
      <c r="AT22" s="54"/>
      <c r="AU22" s="810"/>
    </row>
    <row r="23" spans="1:47" s="1" customFormat="1" ht="120.75" customHeight="1">
      <c r="A23" s="860"/>
      <c r="B23" s="866"/>
      <c r="C23" s="863"/>
      <c r="D23" s="800"/>
      <c r="E23" s="800"/>
      <c r="F23" s="800"/>
      <c r="G23" s="800"/>
      <c r="H23" s="800"/>
      <c r="I23" s="800"/>
      <c r="J23" s="800"/>
      <c r="K23" s="800"/>
      <c r="L23" s="886"/>
      <c r="M23" s="784"/>
      <c r="N23" s="784"/>
      <c r="O23" s="784"/>
      <c r="P23" s="418" t="s">
        <v>755</v>
      </c>
      <c r="Q23" s="444" t="s">
        <v>358</v>
      </c>
      <c r="R23" s="444">
        <v>70</v>
      </c>
      <c r="S23" s="444">
        <v>70</v>
      </c>
      <c r="T23" s="444">
        <v>70</v>
      </c>
      <c r="U23" s="444">
        <v>70</v>
      </c>
      <c r="V23" s="444">
        <v>70</v>
      </c>
      <c r="W23" s="719"/>
      <c r="X23" s="719"/>
      <c r="Y23" s="726"/>
      <c r="Z23" s="719"/>
      <c r="AA23" s="635">
        <v>70</v>
      </c>
      <c r="AB23" s="663">
        <v>70</v>
      </c>
      <c r="AC23" s="495">
        <v>70</v>
      </c>
      <c r="AD23" s="673">
        <v>70</v>
      </c>
      <c r="AE23" s="58"/>
      <c r="AF23" s="58"/>
      <c r="AG23" s="58"/>
      <c r="AH23" s="58"/>
      <c r="AI23" s="58"/>
      <c r="AJ23" s="58"/>
      <c r="AK23" s="58"/>
      <c r="AL23" s="58"/>
      <c r="AM23" s="58"/>
      <c r="AN23" s="58"/>
      <c r="AO23" s="58"/>
      <c r="AP23" s="58"/>
      <c r="AQ23" s="58"/>
      <c r="AR23" s="58"/>
      <c r="AS23" s="54"/>
      <c r="AT23" s="54"/>
      <c r="AU23" s="810"/>
    </row>
    <row r="24" spans="1:47" s="1" customFormat="1" ht="120.75" customHeight="1">
      <c r="A24" s="860"/>
      <c r="B24" s="866"/>
      <c r="C24" s="863"/>
      <c r="D24" s="800"/>
      <c r="E24" s="795" t="s">
        <v>78</v>
      </c>
      <c r="F24" s="795" t="s">
        <v>82</v>
      </c>
      <c r="G24" s="795">
        <v>0</v>
      </c>
      <c r="H24" s="795">
        <v>0</v>
      </c>
      <c r="I24" s="800"/>
      <c r="J24" s="795" t="s">
        <v>85</v>
      </c>
      <c r="K24" s="795" t="s">
        <v>86</v>
      </c>
      <c r="L24" s="783">
        <v>69.7</v>
      </c>
      <c r="M24" s="783">
        <v>69.7</v>
      </c>
      <c r="N24" s="783"/>
      <c r="O24" s="783" t="s">
        <v>96</v>
      </c>
      <c r="P24" s="418" t="s">
        <v>470</v>
      </c>
      <c r="Q24" s="410" t="s">
        <v>19</v>
      </c>
      <c r="R24" s="410">
        <v>580</v>
      </c>
      <c r="S24" s="410">
        <v>145</v>
      </c>
      <c r="T24" s="410">
        <v>145</v>
      </c>
      <c r="U24" s="410">
        <v>145</v>
      </c>
      <c r="V24" s="410">
        <v>145</v>
      </c>
      <c r="W24" s="719"/>
      <c r="X24" s="719"/>
      <c r="Y24" s="726"/>
      <c r="Z24" s="719"/>
      <c r="AA24" s="505">
        <v>145</v>
      </c>
      <c r="AB24" s="494">
        <v>145</v>
      </c>
      <c r="AC24" s="497">
        <v>145</v>
      </c>
      <c r="AD24" s="673">
        <v>145</v>
      </c>
      <c r="AE24" s="287"/>
      <c r="AF24" s="58"/>
      <c r="AG24" s="58"/>
      <c r="AH24" s="58"/>
      <c r="AI24" s="58"/>
      <c r="AJ24" s="58"/>
      <c r="AK24" s="58"/>
      <c r="AL24" s="58"/>
      <c r="AM24" s="58"/>
      <c r="AN24" s="58"/>
      <c r="AO24" s="58"/>
      <c r="AP24" s="58"/>
      <c r="AQ24" s="58"/>
      <c r="AR24" s="58"/>
      <c r="AS24" s="54"/>
      <c r="AT24" s="54"/>
      <c r="AU24" s="810"/>
    </row>
    <row r="25" spans="1:47" s="1" customFormat="1" ht="107.25" customHeight="1">
      <c r="A25" s="860"/>
      <c r="B25" s="866"/>
      <c r="C25" s="863"/>
      <c r="D25" s="800"/>
      <c r="E25" s="798"/>
      <c r="F25" s="798"/>
      <c r="G25" s="798"/>
      <c r="H25" s="798"/>
      <c r="I25" s="800"/>
      <c r="J25" s="798"/>
      <c r="K25" s="798"/>
      <c r="L25" s="785"/>
      <c r="M25" s="785"/>
      <c r="N25" s="785"/>
      <c r="O25" s="785"/>
      <c r="P25" s="410" t="s">
        <v>471</v>
      </c>
      <c r="Q25" s="410" t="s">
        <v>19</v>
      </c>
      <c r="R25" s="410">
        <v>12</v>
      </c>
      <c r="S25" s="410">
        <v>3</v>
      </c>
      <c r="T25" s="410">
        <v>3</v>
      </c>
      <c r="U25" s="423">
        <v>3</v>
      </c>
      <c r="V25" s="410">
        <v>3</v>
      </c>
      <c r="W25" s="719"/>
      <c r="X25" s="719"/>
      <c r="Y25" s="726"/>
      <c r="Z25" s="719"/>
      <c r="AA25" s="505">
        <v>3</v>
      </c>
      <c r="AB25" s="494">
        <v>3</v>
      </c>
      <c r="AC25" s="497">
        <v>3</v>
      </c>
      <c r="AD25" s="673">
        <v>3</v>
      </c>
      <c r="AE25" s="287"/>
      <c r="AF25" s="58"/>
      <c r="AG25" s="58"/>
      <c r="AH25" s="58"/>
      <c r="AI25" s="58"/>
      <c r="AJ25" s="58"/>
      <c r="AK25" s="58"/>
      <c r="AL25" s="58"/>
      <c r="AM25" s="58"/>
      <c r="AN25" s="58"/>
      <c r="AO25" s="58"/>
      <c r="AP25" s="58"/>
      <c r="AQ25" s="58"/>
      <c r="AR25" s="58"/>
      <c r="AS25" s="54" t="s">
        <v>22</v>
      </c>
      <c r="AT25" s="54" t="s">
        <v>22</v>
      </c>
      <c r="AU25" s="810"/>
    </row>
    <row r="26" spans="1:47" s="1" customFormat="1" ht="107.25" customHeight="1">
      <c r="A26" s="860"/>
      <c r="B26" s="866"/>
      <c r="C26" s="863"/>
      <c r="D26" s="800"/>
      <c r="E26" s="795" t="s">
        <v>79</v>
      </c>
      <c r="F26" s="795" t="s">
        <v>82</v>
      </c>
      <c r="G26" s="795">
        <v>0.97</v>
      </c>
      <c r="H26" s="795">
        <v>0.96</v>
      </c>
      <c r="I26" s="800"/>
      <c r="J26" s="795" t="s">
        <v>87</v>
      </c>
      <c r="K26" s="795" t="s">
        <v>18</v>
      </c>
      <c r="L26" s="783">
        <v>75</v>
      </c>
      <c r="M26" s="783">
        <v>78</v>
      </c>
      <c r="N26" s="783"/>
      <c r="O26" s="783" t="s">
        <v>97</v>
      </c>
      <c r="P26" s="418" t="s">
        <v>472</v>
      </c>
      <c r="Q26" s="444" t="s">
        <v>358</v>
      </c>
      <c r="R26" s="444">
        <v>100</v>
      </c>
      <c r="S26" s="444">
        <v>100</v>
      </c>
      <c r="T26" s="444">
        <v>100</v>
      </c>
      <c r="U26" s="444">
        <v>100</v>
      </c>
      <c r="V26" s="444">
        <v>100</v>
      </c>
      <c r="W26" s="719"/>
      <c r="X26" s="719"/>
      <c r="Y26" s="726"/>
      <c r="Z26" s="719"/>
      <c r="AA26" s="636">
        <v>100</v>
      </c>
      <c r="AB26" s="663">
        <v>100</v>
      </c>
      <c r="AC26" s="497">
        <v>100</v>
      </c>
      <c r="AD26" s="673">
        <v>100</v>
      </c>
      <c r="AE26" s="287"/>
      <c r="AF26" s="58"/>
      <c r="AG26" s="58"/>
      <c r="AH26" s="58"/>
      <c r="AI26" s="58"/>
      <c r="AJ26" s="58"/>
      <c r="AK26" s="58"/>
      <c r="AL26" s="58"/>
      <c r="AM26" s="58"/>
      <c r="AN26" s="58"/>
      <c r="AO26" s="58"/>
      <c r="AP26" s="58"/>
      <c r="AQ26" s="58"/>
      <c r="AR26" s="58"/>
      <c r="AS26" s="54"/>
      <c r="AT26" s="54"/>
      <c r="AU26" s="810"/>
    </row>
    <row r="27" spans="1:47" s="1" customFormat="1" ht="96" customHeight="1">
      <c r="A27" s="860"/>
      <c r="B27" s="866"/>
      <c r="C27" s="863"/>
      <c r="D27" s="800"/>
      <c r="E27" s="798"/>
      <c r="F27" s="798"/>
      <c r="G27" s="798"/>
      <c r="H27" s="798"/>
      <c r="I27" s="800"/>
      <c r="J27" s="798"/>
      <c r="K27" s="798"/>
      <c r="L27" s="785"/>
      <c r="M27" s="785"/>
      <c r="N27" s="785"/>
      <c r="O27" s="785"/>
      <c r="P27" s="418" t="s">
        <v>473</v>
      </c>
      <c r="Q27" s="444" t="s">
        <v>358</v>
      </c>
      <c r="R27" s="444">
        <v>85</v>
      </c>
      <c r="S27" s="444">
        <v>85</v>
      </c>
      <c r="T27" s="444">
        <v>85</v>
      </c>
      <c r="U27" s="444">
        <v>85</v>
      </c>
      <c r="V27" s="444">
        <v>85</v>
      </c>
      <c r="W27" s="719"/>
      <c r="X27" s="719"/>
      <c r="Y27" s="726"/>
      <c r="Z27" s="719"/>
      <c r="AA27" s="636">
        <v>85</v>
      </c>
      <c r="AB27" s="663">
        <v>85</v>
      </c>
      <c r="AC27" s="497">
        <v>85</v>
      </c>
      <c r="AD27" s="673">
        <v>85</v>
      </c>
      <c r="AE27" s="287"/>
      <c r="AF27" s="58"/>
      <c r="AG27" s="58"/>
      <c r="AH27" s="58"/>
      <c r="AI27" s="58"/>
      <c r="AJ27" s="58"/>
      <c r="AK27" s="58"/>
      <c r="AL27" s="58"/>
      <c r="AM27" s="58"/>
      <c r="AN27" s="58"/>
      <c r="AO27" s="58"/>
      <c r="AP27" s="58"/>
      <c r="AQ27" s="58"/>
      <c r="AR27" s="58"/>
      <c r="AS27" s="54" t="s">
        <v>22</v>
      </c>
      <c r="AT27" s="54" t="s">
        <v>22</v>
      </c>
      <c r="AU27" s="810"/>
    </row>
    <row r="28" spans="1:47" s="1" customFormat="1" ht="106.5" customHeight="1">
      <c r="A28" s="860"/>
      <c r="B28" s="866"/>
      <c r="C28" s="863"/>
      <c r="D28" s="800"/>
      <c r="E28" s="53" t="s">
        <v>80</v>
      </c>
      <c r="F28" s="54" t="s">
        <v>17</v>
      </c>
      <c r="G28" s="54">
        <v>0</v>
      </c>
      <c r="H28" s="54">
        <v>0</v>
      </c>
      <c r="I28" s="800"/>
      <c r="J28" s="55" t="s">
        <v>88</v>
      </c>
      <c r="K28" s="55" t="s">
        <v>18</v>
      </c>
      <c r="L28" s="59">
        <v>9</v>
      </c>
      <c r="M28" s="59">
        <v>15</v>
      </c>
      <c r="N28" s="783"/>
      <c r="O28" s="783" t="s">
        <v>95</v>
      </c>
      <c r="P28" s="417" t="s">
        <v>756</v>
      </c>
      <c r="Q28" s="444" t="s">
        <v>358</v>
      </c>
      <c r="R28" s="444">
        <v>100</v>
      </c>
      <c r="S28" s="444">
        <v>100</v>
      </c>
      <c r="T28" s="444">
        <v>100</v>
      </c>
      <c r="U28" s="444">
        <v>100</v>
      </c>
      <c r="V28" s="444">
        <v>100</v>
      </c>
      <c r="W28" s="719"/>
      <c r="X28" s="719"/>
      <c r="Y28" s="726"/>
      <c r="Z28" s="719"/>
      <c r="AA28" s="636">
        <v>100</v>
      </c>
      <c r="AB28" s="663">
        <v>100</v>
      </c>
      <c r="AC28" s="497">
        <v>100</v>
      </c>
      <c r="AD28" s="673">
        <v>100</v>
      </c>
      <c r="AE28" s="287"/>
      <c r="AF28" s="58"/>
      <c r="AG28" s="58"/>
      <c r="AH28" s="58"/>
      <c r="AI28" s="58"/>
      <c r="AJ28" s="58"/>
      <c r="AK28" s="58"/>
      <c r="AL28" s="58"/>
      <c r="AM28" s="58"/>
      <c r="AN28" s="58"/>
      <c r="AO28" s="58"/>
      <c r="AP28" s="58"/>
      <c r="AQ28" s="58"/>
      <c r="AR28" s="58"/>
      <c r="AS28" s="54" t="s">
        <v>22</v>
      </c>
      <c r="AT28" s="54" t="s">
        <v>22</v>
      </c>
      <c r="AU28" s="810"/>
    </row>
    <row r="29" spans="1:47" s="1" customFormat="1" ht="102" customHeight="1">
      <c r="A29" s="860"/>
      <c r="B29" s="866"/>
      <c r="C29" s="863"/>
      <c r="D29" s="800"/>
      <c r="E29" s="793" t="s">
        <v>81</v>
      </c>
      <c r="F29" s="795" t="s">
        <v>82</v>
      </c>
      <c r="G29" s="795">
        <v>1.1399999999999999</v>
      </c>
      <c r="H29" s="795">
        <v>1.17</v>
      </c>
      <c r="I29" s="800"/>
      <c r="J29" s="55" t="s">
        <v>89</v>
      </c>
      <c r="K29" s="55" t="s">
        <v>18</v>
      </c>
      <c r="L29" s="59">
        <v>75</v>
      </c>
      <c r="M29" s="59">
        <v>85</v>
      </c>
      <c r="N29" s="785"/>
      <c r="O29" s="785"/>
      <c r="P29" s="418" t="s">
        <v>760</v>
      </c>
      <c r="Q29" s="444" t="s">
        <v>358</v>
      </c>
      <c r="R29" s="444">
        <v>80</v>
      </c>
      <c r="S29" s="444">
        <v>20</v>
      </c>
      <c r="T29" s="444">
        <v>20</v>
      </c>
      <c r="U29" s="444">
        <v>20</v>
      </c>
      <c r="V29" s="444">
        <v>20</v>
      </c>
      <c r="W29" s="719"/>
      <c r="X29" s="719"/>
      <c r="Y29" s="726"/>
      <c r="Z29" s="719"/>
      <c r="AA29" s="636">
        <v>20</v>
      </c>
      <c r="AB29" s="663">
        <v>20</v>
      </c>
      <c r="AC29" s="497">
        <v>20</v>
      </c>
      <c r="AD29" s="673">
        <v>20</v>
      </c>
      <c r="AE29" s="287"/>
      <c r="AF29" s="58"/>
      <c r="AG29" s="58"/>
      <c r="AH29" s="58"/>
      <c r="AI29" s="58"/>
      <c r="AJ29" s="58"/>
      <c r="AK29" s="58"/>
      <c r="AL29" s="58"/>
      <c r="AM29" s="58"/>
      <c r="AN29" s="58"/>
      <c r="AO29" s="58"/>
      <c r="AP29" s="58"/>
      <c r="AQ29" s="58"/>
      <c r="AR29" s="58"/>
      <c r="AS29" s="54" t="s">
        <v>22</v>
      </c>
      <c r="AT29" s="54" t="s">
        <v>22</v>
      </c>
      <c r="AU29" s="810"/>
    </row>
    <row r="30" spans="1:47" s="1" customFormat="1" ht="102" customHeight="1">
      <c r="A30" s="860"/>
      <c r="B30" s="866"/>
      <c r="C30" s="863"/>
      <c r="D30" s="800"/>
      <c r="E30" s="868"/>
      <c r="F30" s="800"/>
      <c r="G30" s="800"/>
      <c r="H30" s="800"/>
      <c r="I30" s="800"/>
      <c r="J30" s="795" t="s">
        <v>90</v>
      </c>
      <c r="K30" s="795" t="s">
        <v>18</v>
      </c>
      <c r="L30" s="783">
        <v>8</v>
      </c>
      <c r="M30" s="783">
        <v>5</v>
      </c>
      <c r="N30" s="783"/>
      <c r="O30" s="783" t="s">
        <v>97</v>
      </c>
      <c r="P30" s="418" t="s">
        <v>475</v>
      </c>
      <c r="Q30" s="444" t="s">
        <v>358</v>
      </c>
      <c r="R30" s="444">
        <v>80</v>
      </c>
      <c r="S30" s="444">
        <v>80</v>
      </c>
      <c r="T30" s="444">
        <v>80</v>
      </c>
      <c r="U30" s="444">
        <v>80</v>
      </c>
      <c r="V30" s="444">
        <v>80</v>
      </c>
      <c r="W30" s="719"/>
      <c r="X30" s="719"/>
      <c r="Y30" s="726"/>
      <c r="Z30" s="719"/>
      <c r="AA30" s="636">
        <v>80</v>
      </c>
      <c r="AB30" s="663">
        <v>80</v>
      </c>
      <c r="AC30" s="497">
        <v>80</v>
      </c>
      <c r="AD30" s="673">
        <v>80</v>
      </c>
      <c r="AE30" s="287"/>
      <c r="AF30" s="58"/>
      <c r="AG30" s="58"/>
      <c r="AH30" s="58"/>
      <c r="AI30" s="58"/>
      <c r="AJ30" s="58"/>
      <c r="AK30" s="58"/>
      <c r="AL30" s="58"/>
      <c r="AM30" s="58"/>
      <c r="AN30" s="58"/>
      <c r="AO30" s="58"/>
      <c r="AP30" s="58"/>
      <c r="AQ30" s="58"/>
      <c r="AR30" s="58"/>
      <c r="AS30" s="54"/>
      <c r="AT30" s="54"/>
      <c r="AU30" s="810"/>
    </row>
    <row r="31" spans="1:47" s="1" customFormat="1" ht="78.75" customHeight="1">
      <c r="A31" s="860"/>
      <c r="B31" s="866"/>
      <c r="C31" s="863"/>
      <c r="D31" s="800"/>
      <c r="E31" s="868"/>
      <c r="F31" s="800"/>
      <c r="G31" s="800"/>
      <c r="H31" s="800"/>
      <c r="I31" s="800"/>
      <c r="J31" s="798"/>
      <c r="K31" s="798"/>
      <c r="L31" s="785"/>
      <c r="M31" s="785"/>
      <c r="N31" s="785"/>
      <c r="O31" s="784"/>
      <c r="P31" s="417" t="s">
        <v>476</v>
      </c>
      <c r="Q31" s="444" t="s">
        <v>358</v>
      </c>
      <c r="R31" s="444">
        <v>80</v>
      </c>
      <c r="S31" s="444">
        <v>80</v>
      </c>
      <c r="T31" s="444">
        <v>80</v>
      </c>
      <c r="U31" s="444">
        <v>80</v>
      </c>
      <c r="V31" s="444">
        <v>80</v>
      </c>
      <c r="W31" s="719"/>
      <c r="X31" s="719"/>
      <c r="Y31" s="726"/>
      <c r="Z31" s="719"/>
      <c r="AA31" s="636">
        <v>70</v>
      </c>
      <c r="AB31" s="663">
        <v>75</v>
      </c>
      <c r="AC31" s="497">
        <v>80</v>
      </c>
      <c r="AD31" s="673">
        <v>75</v>
      </c>
      <c r="AE31" s="287"/>
      <c r="AF31" s="58"/>
      <c r="AG31" s="58"/>
      <c r="AH31" s="58"/>
      <c r="AI31" s="58"/>
      <c r="AJ31" s="58"/>
      <c r="AK31" s="58"/>
      <c r="AL31" s="58"/>
      <c r="AM31" s="58"/>
      <c r="AN31" s="58"/>
      <c r="AO31" s="58"/>
      <c r="AP31" s="58"/>
      <c r="AQ31" s="58"/>
      <c r="AR31" s="58"/>
      <c r="AS31" s="54" t="s">
        <v>22</v>
      </c>
      <c r="AT31" s="54" t="s">
        <v>22</v>
      </c>
      <c r="AU31" s="810"/>
    </row>
    <row r="32" spans="1:47" s="1" customFormat="1" ht="96" customHeight="1">
      <c r="A32" s="860"/>
      <c r="B32" s="866"/>
      <c r="C32" s="863"/>
      <c r="D32" s="800"/>
      <c r="E32" s="868"/>
      <c r="F32" s="800"/>
      <c r="G32" s="800"/>
      <c r="H32" s="800"/>
      <c r="I32" s="800"/>
      <c r="J32" s="55" t="s">
        <v>91</v>
      </c>
      <c r="K32" s="55" t="s">
        <v>18</v>
      </c>
      <c r="L32" s="59">
        <v>100</v>
      </c>
      <c r="M32" s="59">
        <v>100</v>
      </c>
      <c r="N32" s="56"/>
      <c r="O32" s="785"/>
      <c r="P32" s="417" t="s">
        <v>476</v>
      </c>
      <c r="Q32" s="444" t="s">
        <v>358</v>
      </c>
      <c r="R32" s="444">
        <v>80</v>
      </c>
      <c r="S32" s="444">
        <v>20</v>
      </c>
      <c r="T32" s="444">
        <v>20</v>
      </c>
      <c r="U32" s="444">
        <v>20</v>
      </c>
      <c r="V32" s="444">
        <v>20</v>
      </c>
      <c r="W32" s="719"/>
      <c r="X32" s="719"/>
      <c r="Y32" s="726"/>
      <c r="Z32" s="719"/>
      <c r="AA32" s="636">
        <v>20</v>
      </c>
      <c r="AB32" s="663">
        <v>20</v>
      </c>
      <c r="AC32" s="497">
        <v>20</v>
      </c>
      <c r="AD32" s="673">
        <v>20</v>
      </c>
      <c r="AE32" s="287"/>
      <c r="AF32" s="58"/>
      <c r="AG32" s="58"/>
      <c r="AH32" s="58"/>
      <c r="AI32" s="58"/>
      <c r="AJ32" s="58"/>
      <c r="AK32" s="58"/>
      <c r="AL32" s="58"/>
      <c r="AM32" s="58"/>
      <c r="AN32" s="58"/>
      <c r="AO32" s="58"/>
      <c r="AP32" s="58"/>
      <c r="AQ32" s="58"/>
      <c r="AR32" s="58"/>
      <c r="AS32" s="54" t="s">
        <v>22</v>
      </c>
      <c r="AT32" s="54" t="s">
        <v>22</v>
      </c>
      <c r="AU32" s="810"/>
    </row>
    <row r="33" spans="1:49" s="1" customFormat="1" ht="100.5" customHeight="1">
      <c r="A33" s="860"/>
      <c r="B33" s="866"/>
      <c r="C33" s="863"/>
      <c r="D33" s="800"/>
      <c r="E33" s="868"/>
      <c r="F33" s="800"/>
      <c r="G33" s="800"/>
      <c r="H33" s="800"/>
      <c r="I33" s="798"/>
      <c r="J33" s="55" t="s">
        <v>92</v>
      </c>
      <c r="K33" s="55" t="s">
        <v>17</v>
      </c>
      <c r="L33" s="55">
        <v>1</v>
      </c>
      <c r="M33" s="55">
        <v>1</v>
      </c>
      <c r="N33" s="426"/>
      <c r="O33" s="425" t="s">
        <v>98</v>
      </c>
      <c r="P33" s="417" t="s">
        <v>477</v>
      </c>
      <c r="Q33" s="634" t="s">
        <v>358</v>
      </c>
      <c r="R33" s="634">
        <v>100</v>
      </c>
      <c r="S33" s="444">
        <v>100</v>
      </c>
      <c r="T33" s="444">
        <v>100</v>
      </c>
      <c r="U33" s="444">
        <v>100</v>
      </c>
      <c r="V33" s="444">
        <v>100</v>
      </c>
      <c r="W33" s="719"/>
      <c r="X33" s="719"/>
      <c r="Y33" s="726"/>
      <c r="Z33" s="719"/>
      <c r="AA33" s="636">
        <v>100</v>
      </c>
      <c r="AB33" s="663">
        <v>100</v>
      </c>
      <c r="AC33" s="497">
        <v>100</v>
      </c>
      <c r="AD33" s="78"/>
      <c r="AE33" s="287"/>
      <c r="AF33" s="58"/>
      <c r="AG33" s="58"/>
      <c r="AH33" s="58"/>
      <c r="AI33" s="58"/>
      <c r="AJ33" s="58"/>
      <c r="AK33" s="58"/>
      <c r="AL33" s="58"/>
      <c r="AM33" s="58"/>
      <c r="AN33" s="58"/>
      <c r="AO33" s="58"/>
      <c r="AP33" s="58"/>
      <c r="AQ33" s="58"/>
      <c r="AR33" s="58"/>
      <c r="AS33" s="54" t="s">
        <v>22</v>
      </c>
      <c r="AT33" s="54" t="s">
        <v>22</v>
      </c>
      <c r="AU33" s="810"/>
    </row>
    <row r="34" spans="1:49" s="1" customFormat="1" ht="93" customHeight="1">
      <c r="A34" s="860"/>
      <c r="B34" s="866"/>
      <c r="C34" s="863"/>
      <c r="D34" s="800"/>
      <c r="E34" s="868"/>
      <c r="F34" s="800"/>
      <c r="G34" s="800"/>
      <c r="H34" s="800"/>
      <c r="I34" s="795" t="s">
        <v>99</v>
      </c>
      <c r="J34" s="55" t="s">
        <v>100</v>
      </c>
      <c r="K34" s="55" t="s">
        <v>17</v>
      </c>
      <c r="L34" s="59">
        <v>1</v>
      </c>
      <c r="M34" s="59">
        <v>1</v>
      </c>
      <c r="N34" s="56"/>
      <c r="O34" s="59" t="s">
        <v>102</v>
      </c>
      <c r="P34" s="417" t="s">
        <v>759</v>
      </c>
      <c r="Q34" s="410" t="s">
        <v>19</v>
      </c>
      <c r="R34" s="410">
        <v>12</v>
      </c>
      <c r="S34" s="410">
        <v>3</v>
      </c>
      <c r="T34" s="410">
        <v>3</v>
      </c>
      <c r="U34" s="410">
        <v>3</v>
      </c>
      <c r="V34" s="410">
        <v>3</v>
      </c>
      <c r="W34" s="719"/>
      <c r="X34" s="719"/>
      <c r="Y34" s="726"/>
      <c r="Z34" s="719"/>
      <c r="AA34" s="505">
        <v>3</v>
      </c>
      <c r="AB34" s="494">
        <v>3</v>
      </c>
      <c r="AC34" s="496">
        <v>3</v>
      </c>
      <c r="AD34" s="673">
        <v>3</v>
      </c>
      <c r="AE34" s="287"/>
      <c r="AF34" s="58"/>
      <c r="AG34" s="58"/>
      <c r="AH34" s="58"/>
      <c r="AI34" s="58"/>
      <c r="AJ34" s="58"/>
      <c r="AK34" s="58"/>
      <c r="AL34" s="58"/>
      <c r="AM34" s="58"/>
      <c r="AN34" s="58"/>
      <c r="AO34" s="58"/>
      <c r="AP34" s="58"/>
      <c r="AQ34" s="58"/>
      <c r="AR34" s="58"/>
      <c r="AS34" s="54" t="s">
        <v>22</v>
      </c>
      <c r="AT34" s="54" t="s">
        <v>22</v>
      </c>
      <c r="AU34" s="810"/>
    </row>
    <row r="35" spans="1:49" s="1" customFormat="1" ht="99.75" customHeight="1">
      <c r="A35" s="860"/>
      <c r="B35" s="866"/>
      <c r="C35" s="863"/>
      <c r="D35" s="800"/>
      <c r="E35" s="868"/>
      <c r="F35" s="800"/>
      <c r="G35" s="800"/>
      <c r="H35" s="800"/>
      <c r="I35" s="798"/>
      <c r="J35" s="55" t="s">
        <v>101</v>
      </c>
      <c r="K35" s="55" t="s">
        <v>18</v>
      </c>
      <c r="L35" s="59" t="s">
        <v>51</v>
      </c>
      <c r="M35" s="59">
        <v>60</v>
      </c>
      <c r="N35" s="56"/>
      <c r="O35" s="59" t="s">
        <v>103</v>
      </c>
      <c r="P35" s="417" t="s">
        <v>479</v>
      </c>
      <c r="Q35" s="410" t="s">
        <v>19</v>
      </c>
      <c r="R35" s="410">
        <v>12</v>
      </c>
      <c r="S35" s="410">
        <v>3</v>
      </c>
      <c r="T35" s="410">
        <v>3</v>
      </c>
      <c r="U35" s="410">
        <v>3</v>
      </c>
      <c r="V35" s="410">
        <v>3</v>
      </c>
      <c r="W35" s="719"/>
      <c r="X35" s="719"/>
      <c r="Y35" s="726"/>
      <c r="Z35" s="719"/>
      <c r="AA35" s="505">
        <v>3</v>
      </c>
      <c r="AB35" s="494">
        <v>3</v>
      </c>
      <c r="AC35" s="496">
        <v>3</v>
      </c>
      <c r="AD35" s="673">
        <v>3</v>
      </c>
      <c r="AE35" s="287"/>
      <c r="AF35" s="58"/>
      <c r="AG35" s="58"/>
      <c r="AH35" s="58"/>
      <c r="AI35" s="58"/>
      <c r="AJ35" s="58"/>
      <c r="AK35" s="58"/>
      <c r="AL35" s="58"/>
      <c r="AM35" s="58"/>
      <c r="AN35" s="58"/>
      <c r="AO35" s="58"/>
      <c r="AP35" s="58"/>
      <c r="AQ35" s="58"/>
      <c r="AR35" s="58"/>
      <c r="AS35" s="54" t="s">
        <v>22</v>
      </c>
      <c r="AT35" s="54" t="s">
        <v>22</v>
      </c>
      <c r="AU35" s="810"/>
      <c r="AW35" s="177"/>
    </row>
    <row r="36" spans="1:49" s="1" customFormat="1" ht="78.75" customHeight="1">
      <c r="A36" s="860"/>
      <c r="B36" s="866"/>
      <c r="C36" s="863"/>
      <c r="D36" s="800"/>
      <c r="E36" s="868"/>
      <c r="F36" s="800"/>
      <c r="G36" s="800"/>
      <c r="H36" s="800"/>
      <c r="I36" s="795" t="s">
        <v>104</v>
      </c>
      <c r="J36" s="55" t="s">
        <v>105</v>
      </c>
      <c r="K36" s="55" t="s">
        <v>108</v>
      </c>
      <c r="L36" s="59">
        <v>1.5</v>
      </c>
      <c r="M36" s="59">
        <v>1.4</v>
      </c>
      <c r="N36" s="56"/>
      <c r="O36" s="59" t="s">
        <v>110</v>
      </c>
      <c r="P36" s="417" t="s">
        <v>480</v>
      </c>
      <c r="Q36" s="410" t="s">
        <v>19</v>
      </c>
      <c r="R36" s="410">
        <v>12</v>
      </c>
      <c r="S36" s="410">
        <v>3</v>
      </c>
      <c r="T36" s="410">
        <v>3</v>
      </c>
      <c r="U36" s="410">
        <v>3</v>
      </c>
      <c r="V36" s="410">
        <v>3</v>
      </c>
      <c r="W36" s="719"/>
      <c r="X36" s="719"/>
      <c r="Y36" s="726"/>
      <c r="Z36" s="719"/>
      <c r="AA36" s="505">
        <v>1.4</v>
      </c>
      <c r="AB36" s="494">
        <v>3</v>
      </c>
      <c r="AC36" s="496">
        <v>3</v>
      </c>
      <c r="AD36" s="673">
        <v>3</v>
      </c>
      <c r="AE36" s="287"/>
      <c r="AF36" s="58"/>
      <c r="AG36" s="58"/>
      <c r="AH36" s="58"/>
      <c r="AI36" s="58"/>
      <c r="AJ36" s="58"/>
      <c r="AK36" s="58"/>
      <c r="AL36" s="58"/>
      <c r="AM36" s="58"/>
      <c r="AN36" s="58"/>
      <c r="AO36" s="58"/>
      <c r="AP36" s="58"/>
      <c r="AQ36" s="58"/>
      <c r="AR36" s="58"/>
      <c r="AS36" s="54" t="s">
        <v>22</v>
      </c>
      <c r="AT36" s="54" t="s">
        <v>22</v>
      </c>
      <c r="AU36" s="810"/>
    </row>
    <row r="37" spans="1:49" s="1" customFormat="1" ht="88.5" customHeight="1">
      <c r="A37" s="860"/>
      <c r="B37" s="866"/>
      <c r="C37" s="863"/>
      <c r="D37" s="800"/>
      <c r="E37" s="868"/>
      <c r="F37" s="800"/>
      <c r="G37" s="800"/>
      <c r="H37" s="800"/>
      <c r="I37" s="800"/>
      <c r="J37" s="55" t="s">
        <v>106</v>
      </c>
      <c r="K37" s="55" t="s">
        <v>108</v>
      </c>
      <c r="L37" s="59">
        <v>1.59</v>
      </c>
      <c r="M37" s="59">
        <v>1.4</v>
      </c>
      <c r="N37" s="56"/>
      <c r="O37" s="59" t="s">
        <v>111</v>
      </c>
      <c r="P37" s="410" t="s">
        <v>758</v>
      </c>
      <c r="Q37" s="410" t="s">
        <v>19</v>
      </c>
      <c r="R37" s="410">
        <v>12</v>
      </c>
      <c r="S37" s="410">
        <v>3</v>
      </c>
      <c r="T37" s="410">
        <v>3</v>
      </c>
      <c r="U37" s="410">
        <v>3</v>
      </c>
      <c r="V37" s="410">
        <v>3</v>
      </c>
      <c r="W37" s="719"/>
      <c r="X37" s="719"/>
      <c r="Y37" s="726"/>
      <c r="Z37" s="719"/>
      <c r="AA37" s="505">
        <v>1.4</v>
      </c>
      <c r="AB37" s="494">
        <v>3</v>
      </c>
      <c r="AC37" s="496">
        <v>3</v>
      </c>
      <c r="AD37" s="673">
        <v>3</v>
      </c>
      <c r="AE37" s="287"/>
      <c r="AF37" s="58"/>
      <c r="AG37" s="58"/>
      <c r="AH37" s="58"/>
      <c r="AI37" s="58"/>
      <c r="AJ37" s="58"/>
      <c r="AK37" s="58"/>
      <c r="AL37" s="58"/>
      <c r="AM37" s="58"/>
      <c r="AN37" s="58"/>
      <c r="AO37" s="58"/>
      <c r="AP37" s="58"/>
      <c r="AQ37" s="58"/>
      <c r="AR37" s="58"/>
      <c r="AS37" s="54" t="s">
        <v>22</v>
      </c>
      <c r="AT37" s="54" t="s">
        <v>22</v>
      </c>
      <c r="AU37" s="810"/>
    </row>
    <row r="38" spans="1:49" s="1" customFormat="1" ht="75" customHeight="1">
      <c r="A38" s="860"/>
      <c r="B38" s="866"/>
      <c r="C38" s="863"/>
      <c r="D38" s="800"/>
      <c r="E38" s="868"/>
      <c r="F38" s="800"/>
      <c r="G38" s="800"/>
      <c r="H38" s="800"/>
      <c r="I38" s="800"/>
      <c r="J38" s="793" t="s">
        <v>107</v>
      </c>
      <c r="K38" s="795" t="s">
        <v>18</v>
      </c>
      <c r="L38" s="783">
        <v>73</v>
      </c>
      <c r="M38" s="783">
        <v>80</v>
      </c>
      <c r="N38" s="56"/>
      <c r="O38" s="59" t="s">
        <v>109</v>
      </c>
      <c r="P38" s="417" t="s">
        <v>482</v>
      </c>
      <c r="Q38" s="444" t="s">
        <v>358</v>
      </c>
      <c r="R38" s="444">
        <v>100</v>
      </c>
      <c r="S38" s="444">
        <v>100</v>
      </c>
      <c r="T38" s="444">
        <v>100</v>
      </c>
      <c r="U38" s="444">
        <v>100</v>
      </c>
      <c r="V38" s="444">
        <v>100</v>
      </c>
      <c r="W38" s="719"/>
      <c r="X38" s="719"/>
      <c r="Y38" s="726"/>
      <c r="Z38" s="719"/>
      <c r="AA38" s="636">
        <v>100</v>
      </c>
      <c r="AB38" s="663">
        <v>100</v>
      </c>
      <c r="AC38" s="496">
        <v>100</v>
      </c>
      <c r="AD38" s="673">
        <v>100</v>
      </c>
      <c r="AE38" s="287"/>
      <c r="AF38" s="58"/>
      <c r="AG38" s="58"/>
      <c r="AH38" s="58"/>
      <c r="AI38" s="58"/>
      <c r="AJ38" s="58"/>
      <c r="AK38" s="58"/>
      <c r="AL38" s="58"/>
      <c r="AM38" s="58"/>
      <c r="AN38" s="58"/>
      <c r="AO38" s="58"/>
      <c r="AP38" s="58"/>
      <c r="AQ38" s="58"/>
      <c r="AR38" s="58"/>
      <c r="AS38" s="54" t="s">
        <v>22</v>
      </c>
      <c r="AT38" s="54" t="s">
        <v>22</v>
      </c>
      <c r="AU38" s="810"/>
    </row>
    <row r="39" spans="1:49" s="1" customFormat="1" ht="99.75" customHeight="1" thickBot="1">
      <c r="A39" s="860"/>
      <c r="B39" s="866"/>
      <c r="C39" s="864"/>
      <c r="D39" s="796"/>
      <c r="E39" s="794"/>
      <c r="F39" s="796"/>
      <c r="G39" s="796"/>
      <c r="H39" s="796"/>
      <c r="I39" s="796"/>
      <c r="J39" s="794"/>
      <c r="K39" s="796"/>
      <c r="L39" s="797"/>
      <c r="M39" s="797"/>
      <c r="N39" s="62"/>
      <c r="O39" s="63" t="s">
        <v>112</v>
      </c>
      <c r="P39" s="424" t="s">
        <v>757</v>
      </c>
      <c r="Q39" s="413" t="s">
        <v>17</v>
      </c>
      <c r="R39" s="413">
        <v>4</v>
      </c>
      <c r="S39" s="410">
        <v>1</v>
      </c>
      <c r="T39" s="410">
        <v>1</v>
      </c>
      <c r="U39" s="410">
        <v>1</v>
      </c>
      <c r="V39" s="410">
        <v>1</v>
      </c>
      <c r="W39" s="720"/>
      <c r="X39" s="817"/>
      <c r="Y39" s="733"/>
      <c r="Z39" s="720"/>
      <c r="AA39" s="505">
        <v>1</v>
      </c>
      <c r="AB39" s="494">
        <v>1</v>
      </c>
      <c r="AC39" s="496">
        <v>1</v>
      </c>
      <c r="AD39" s="673">
        <v>1</v>
      </c>
      <c r="AE39" s="287"/>
      <c r="AF39" s="58"/>
      <c r="AG39" s="58"/>
      <c r="AH39" s="58"/>
      <c r="AI39" s="58"/>
      <c r="AJ39" s="58"/>
      <c r="AK39" s="58"/>
      <c r="AL39" s="58"/>
      <c r="AM39" s="58"/>
      <c r="AN39" s="58"/>
      <c r="AO39" s="58"/>
      <c r="AP39" s="58"/>
      <c r="AQ39" s="58"/>
      <c r="AR39" s="58"/>
      <c r="AS39" s="54" t="s">
        <v>22</v>
      </c>
      <c r="AT39" s="54" t="s">
        <v>22</v>
      </c>
      <c r="AU39" s="811"/>
    </row>
    <row r="40" spans="1:49" s="1" customFormat="1" ht="99.75" customHeight="1" thickBot="1">
      <c r="A40" s="860"/>
      <c r="B40" s="866"/>
      <c r="C40" s="790" t="s">
        <v>779</v>
      </c>
      <c r="D40" s="189"/>
      <c r="E40" s="799" t="s">
        <v>314</v>
      </c>
      <c r="F40" s="799" t="s">
        <v>53</v>
      </c>
      <c r="G40" s="799" t="s">
        <v>51</v>
      </c>
      <c r="H40" s="799" t="s">
        <v>330</v>
      </c>
      <c r="I40" s="799" t="s">
        <v>115</v>
      </c>
      <c r="J40" s="392" t="s">
        <v>117</v>
      </c>
      <c r="K40" s="392" t="s">
        <v>17</v>
      </c>
      <c r="L40" s="394">
        <v>1</v>
      </c>
      <c r="M40" s="394">
        <v>1</v>
      </c>
      <c r="N40" s="195"/>
      <c r="O40" s="63"/>
      <c r="P40" s="424" t="s">
        <v>708</v>
      </c>
      <c r="Q40" s="424" t="s">
        <v>452</v>
      </c>
      <c r="R40" s="424">
        <v>1</v>
      </c>
      <c r="S40" s="424">
        <v>0</v>
      </c>
      <c r="T40" s="424">
        <v>0</v>
      </c>
      <c r="U40" s="424">
        <v>0</v>
      </c>
      <c r="V40" s="410">
        <v>1</v>
      </c>
      <c r="W40" s="887" t="s">
        <v>765</v>
      </c>
      <c r="X40" s="705"/>
      <c r="Y40" s="725">
        <f>6827512835+454251984+37584089283+1800000000+511781601-94903632-42000000-95000000+172639745+9345135847</f>
        <v>56463507663</v>
      </c>
      <c r="Z40" s="732">
        <f>+Y40</f>
        <v>56463507663</v>
      </c>
      <c r="AA40" s="505">
        <v>0</v>
      </c>
      <c r="AB40" s="494">
        <v>0</v>
      </c>
      <c r="AC40" s="76">
        <v>0</v>
      </c>
      <c r="AD40" s="76">
        <v>1</v>
      </c>
      <c r="AE40" s="287"/>
      <c r="AF40" s="58"/>
      <c r="AG40" s="58"/>
      <c r="AH40" s="58"/>
      <c r="AI40" s="58"/>
      <c r="AJ40" s="58"/>
      <c r="AK40" s="58"/>
      <c r="AL40" s="58"/>
      <c r="AM40" s="58"/>
      <c r="AN40" s="58"/>
      <c r="AO40" s="58"/>
      <c r="AP40" s="58"/>
      <c r="AQ40" s="58"/>
      <c r="AR40" s="58"/>
      <c r="AS40" s="54"/>
      <c r="AT40" s="54"/>
      <c r="AU40" s="167"/>
    </row>
    <row r="41" spans="1:49" s="1" customFormat="1" ht="108" customHeight="1" thickBot="1">
      <c r="A41" s="860"/>
      <c r="B41" s="866"/>
      <c r="C41" s="791"/>
      <c r="D41" s="800"/>
      <c r="E41" s="800"/>
      <c r="F41" s="800"/>
      <c r="G41" s="800"/>
      <c r="H41" s="800"/>
      <c r="I41" s="800"/>
      <c r="J41" s="795" t="s">
        <v>119</v>
      </c>
      <c r="K41" s="795" t="s">
        <v>18</v>
      </c>
      <c r="L41" s="783" t="s">
        <v>51</v>
      </c>
      <c r="M41" s="783">
        <v>100</v>
      </c>
      <c r="N41" s="56"/>
      <c r="O41" s="189"/>
      <c r="P41" s="424" t="s">
        <v>928</v>
      </c>
      <c r="Q41" s="424" t="s">
        <v>17</v>
      </c>
      <c r="R41" s="424">
        <v>12</v>
      </c>
      <c r="S41" s="424">
        <v>3</v>
      </c>
      <c r="T41" s="424">
        <v>3</v>
      </c>
      <c r="U41" s="424">
        <v>3</v>
      </c>
      <c r="V41" s="410">
        <v>3</v>
      </c>
      <c r="W41" s="741"/>
      <c r="X41" s="706"/>
      <c r="Y41" s="726"/>
      <c r="Z41" s="726"/>
      <c r="AA41" s="505">
        <v>3</v>
      </c>
      <c r="AB41" s="388">
        <v>3</v>
      </c>
      <c r="AC41" s="388">
        <v>3</v>
      </c>
      <c r="AD41" s="76">
        <v>3</v>
      </c>
      <c r="AE41" s="287"/>
      <c r="AF41" s="58"/>
      <c r="AG41" s="58"/>
      <c r="AH41" s="58"/>
      <c r="AI41" s="58"/>
      <c r="AJ41" s="58"/>
      <c r="AK41" s="58"/>
      <c r="AL41" s="58"/>
      <c r="AM41" s="58"/>
      <c r="AN41" s="58"/>
      <c r="AO41" s="58"/>
      <c r="AP41" s="58"/>
      <c r="AQ41" s="58"/>
      <c r="AR41" s="58"/>
      <c r="AS41" s="54"/>
      <c r="AT41" s="54"/>
      <c r="AU41" s="810"/>
    </row>
    <row r="42" spans="1:49" s="1" customFormat="1" ht="108" customHeight="1" thickBot="1">
      <c r="A42" s="860"/>
      <c r="B42" s="866"/>
      <c r="C42" s="791"/>
      <c r="D42" s="800"/>
      <c r="E42" s="800"/>
      <c r="F42" s="800"/>
      <c r="G42" s="800"/>
      <c r="H42" s="800"/>
      <c r="I42" s="800"/>
      <c r="J42" s="800"/>
      <c r="K42" s="800"/>
      <c r="L42" s="784"/>
      <c r="M42" s="784"/>
      <c r="N42" s="56"/>
      <c r="O42" s="799" t="s">
        <v>121</v>
      </c>
      <c r="P42" s="424" t="s">
        <v>492</v>
      </c>
      <c r="Q42" s="424" t="s">
        <v>17</v>
      </c>
      <c r="R42" s="424">
        <v>12</v>
      </c>
      <c r="S42" s="424">
        <v>3</v>
      </c>
      <c r="T42" s="424">
        <v>3</v>
      </c>
      <c r="U42" s="424">
        <v>3</v>
      </c>
      <c r="V42" s="410">
        <v>3</v>
      </c>
      <c r="W42" s="741"/>
      <c r="X42" s="706"/>
      <c r="Y42" s="726"/>
      <c r="Z42" s="726"/>
      <c r="AA42" s="505">
        <v>3</v>
      </c>
      <c r="AB42" s="388">
        <v>3</v>
      </c>
      <c r="AC42" s="388">
        <v>3</v>
      </c>
      <c r="AD42" s="76">
        <v>3</v>
      </c>
      <c r="AE42" s="287"/>
      <c r="AF42" s="58"/>
      <c r="AG42" s="58"/>
      <c r="AH42" s="58"/>
      <c r="AI42" s="58"/>
      <c r="AJ42" s="58"/>
      <c r="AK42" s="58"/>
      <c r="AL42" s="58"/>
      <c r="AM42" s="58"/>
      <c r="AN42" s="58"/>
      <c r="AO42" s="58"/>
      <c r="AP42" s="58"/>
      <c r="AQ42" s="58"/>
      <c r="AR42" s="58"/>
      <c r="AS42" s="54" t="s">
        <v>24</v>
      </c>
      <c r="AT42" s="54" t="s">
        <v>24</v>
      </c>
      <c r="AU42" s="810"/>
    </row>
    <row r="43" spans="1:49" s="1" customFormat="1" ht="108" customHeight="1" thickBot="1">
      <c r="A43" s="860"/>
      <c r="B43" s="866"/>
      <c r="C43" s="791"/>
      <c r="D43" s="800"/>
      <c r="E43" s="800"/>
      <c r="F43" s="800"/>
      <c r="G43" s="800"/>
      <c r="H43" s="800"/>
      <c r="I43" s="800"/>
      <c r="J43" s="800"/>
      <c r="K43" s="800"/>
      <c r="L43" s="784"/>
      <c r="M43" s="784"/>
      <c r="N43" s="56"/>
      <c r="O43" s="800"/>
      <c r="P43" s="424" t="s">
        <v>710</v>
      </c>
      <c r="Q43" s="424" t="s">
        <v>19</v>
      </c>
      <c r="R43" s="424">
        <v>8</v>
      </c>
      <c r="S43" s="424">
        <v>8</v>
      </c>
      <c r="T43" s="424">
        <v>0</v>
      </c>
      <c r="U43" s="424">
        <v>0</v>
      </c>
      <c r="V43" s="410">
        <v>0</v>
      </c>
      <c r="W43" s="741"/>
      <c r="X43" s="706"/>
      <c r="Y43" s="726"/>
      <c r="Z43" s="726"/>
      <c r="AA43" s="505">
        <v>8</v>
      </c>
      <c r="AB43" s="388">
        <v>0</v>
      </c>
      <c r="AC43" s="388">
        <v>0</v>
      </c>
      <c r="AD43" s="76">
        <v>0</v>
      </c>
      <c r="AE43" s="287"/>
      <c r="AF43" s="58"/>
      <c r="AG43" s="58"/>
      <c r="AH43" s="58"/>
      <c r="AI43" s="58"/>
      <c r="AJ43" s="58"/>
      <c r="AK43" s="58"/>
      <c r="AL43" s="58"/>
      <c r="AM43" s="58"/>
      <c r="AN43" s="58"/>
      <c r="AO43" s="58"/>
      <c r="AP43" s="58"/>
      <c r="AQ43" s="58"/>
      <c r="AR43" s="58"/>
      <c r="AS43" s="54"/>
      <c r="AT43" s="54"/>
      <c r="AU43" s="810"/>
    </row>
    <row r="44" spans="1:49" s="1" customFormat="1" ht="108" customHeight="1" thickBot="1">
      <c r="A44" s="860"/>
      <c r="B44" s="866"/>
      <c r="C44" s="791"/>
      <c r="D44" s="800"/>
      <c r="E44" s="800"/>
      <c r="F44" s="800"/>
      <c r="G44" s="800"/>
      <c r="H44" s="800"/>
      <c r="I44" s="800"/>
      <c r="J44" s="800"/>
      <c r="K44" s="800"/>
      <c r="L44" s="784"/>
      <c r="M44" s="784"/>
      <c r="N44" s="56"/>
      <c r="O44" s="800"/>
      <c r="P44" s="424" t="s">
        <v>902</v>
      </c>
      <c r="Q44" s="424" t="s">
        <v>17</v>
      </c>
      <c r="R44" s="424">
        <v>12</v>
      </c>
      <c r="S44" s="424">
        <v>3</v>
      </c>
      <c r="T44" s="424">
        <v>3</v>
      </c>
      <c r="U44" s="424">
        <v>3</v>
      </c>
      <c r="V44" s="410">
        <v>3</v>
      </c>
      <c r="W44" s="741"/>
      <c r="X44" s="706"/>
      <c r="Y44" s="726"/>
      <c r="Z44" s="726"/>
      <c r="AA44" s="505">
        <v>3</v>
      </c>
      <c r="AB44" s="388">
        <v>3</v>
      </c>
      <c r="AC44" s="388">
        <v>3</v>
      </c>
      <c r="AD44" s="76">
        <v>3</v>
      </c>
      <c r="AE44" s="287"/>
      <c r="AF44" s="58"/>
      <c r="AG44" s="58"/>
      <c r="AH44" s="58"/>
      <c r="AI44" s="58"/>
      <c r="AJ44" s="58"/>
      <c r="AK44" s="58"/>
      <c r="AL44" s="58"/>
      <c r="AM44" s="58"/>
      <c r="AN44" s="58"/>
      <c r="AO44" s="58"/>
      <c r="AP44" s="58"/>
      <c r="AQ44" s="58"/>
      <c r="AR44" s="58"/>
      <c r="AS44" s="54" t="s">
        <v>24</v>
      </c>
      <c r="AT44" s="54" t="s">
        <v>24</v>
      </c>
      <c r="AU44" s="810"/>
      <c r="AV44" s="178"/>
    </row>
    <row r="45" spans="1:49" s="1" customFormat="1" ht="108" customHeight="1" thickBot="1">
      <c r="A45" s="860"/>
      <c r="B45" s="866"/>
      <c r="C45" s="791"/>
      <c r="D45" s="800"/>
      <c r="E45" s="800"/>
      <c r="F45" s="800"/>
      <c r="G45" s="800"/>
      <c r="H45" s="800"/>
      <c r="I45" s="800"/>
      <c r="J45" s="55" t="s">
        <v>118</v>
      </c>
      <c r="K45" s="55" t="s">
        <v>18</v>
      </c>
      <c r="L45" s="59" t="s">
        <v>51</v>
      </c>
      <c r="M45" s="59">
        <v>100</v>
      </c>
      <c r="N45" s="56"/>
      <c r="O45" s="800"/>
      <c r="P45" s="424" t="s">
        <v>711</v>
      </c>
      <c r="Q45" s="424" t="s">
        <v>17</v>
      </c>
      <c r="R45" s="424">
        <v>1</v>
      </c>
      <c r="S45" s="424">
        <v>0</v>
      </c>
      <c r="T45" s="424">
        <v>0</v>
      </c>
      <c r="U45" s="424">
        <v>0</v>
      </c>
      <c r="V45" s="410">
        <v>1</v>
      </c>
      <c r="W45" s="741"/>
      <c r="X45" s="706"/>
      <c r="Y45" s="726"/>
      <c r="Z45" s="726"/>
      <c r="AA45" s="505">
        <v>0</v>
      </c>
      <c r="AB45" s="388">
        <v>0</v>
      </c>
      <c r="AC45" s="388">
        <v>0</v>
      </c>
      <c r="AD45" s="76">
        <v>1</v>
      </c>
      <c r="AE45" s="287"/>
      <c r="AF45" s="58"/>
      <c r="AG45" s="58"/>
      <c r="AH45" s="58"/>
      <c r="AI45" s="58"/>
      <c r="AJ45" s="58"/>
      <c r="AK45" s="58"/>
      <c r="AL45" s="58"/>
      <c r="AM45" s="58"/>
      <c r="AN45" s="58"/>
      <c r="AO45" s="58"/>
      <c r="AP45" s="58"/>
      <c r="AQ45" s="58"/>
      <c r="AR45" s="58"/>
      <c r="AS45" s="54" t="s">
        <v>24</v>
      </c>
      <c r="AT45" s="54" t="s">
        <v>24</v>
      </c>
      <c r="AU45" s="810"/>
      <c r="AV45" s="178"/>
    </row>
    <row r="46" spans="1:49" s="1" customFormat="1" ht="108" customHeight="1" thickBot="1">
      <c r="A46" s="860"/>
      <c r="B46" s="866"/>
      <c r="C46" s="791"/>
      <c r="D46" s="800"/>
      <c r="E46" s="800"/>
      <c r="F46" s="800"/>
      <c r="G46" s="800"/>
      <c r="H46" s="800"/>
      <c r="I46" s="800"/>
      <c r="J46" s="795" t="s">
        <v>116</v>
      </c>
      <c r="K46" s="795" t="s">
        <v>17</v>
      </c>
      <c r="L46" s="783">
        <v>1</v>
      </c>
      <c r="M46" s="783">
        <v>1</v>
      </c>
      <c r="N46" s="56"/>
      <c r="O46" s="800"/>
      <c r="P46" s="424" t="s">
        <v>712</v>
      </c>
      <c r="Q46" s="424" t="s">
        <v>19</v>
      </c>
      <c r="R46" s="424">
        <v>1</v>
      </c>
      <c r="S46" s="424">
        <v>1</v>
      </c>
      <c r="T46" s="424">
        <v>0</v>
      </c>
      <c r="U46" s="424">
        <v>0</v>
      </c>
      <c r="V46" s="410">
        <v>0</v>
      </c>
      <c r="W46" s="741"/>
      <c r="X46" s="706"/>
      <c r="Y46" s="726"/>
      <c r="Z46" s="726"/>
      <c r="AA46" s="505">
        <v>1</v>
      </c>
      <c r="AB46" s="388">
        <v>0</v>
      </c>
      <c r="AC46" s="388">
        <v>0</v>
      </c>
      <c r="AD46" s="76">
        <v>0</v>
      </c>
      <c r="AE46" s="287"/>
      <c r="AF46" s="58"/>
      <c r="AG46" s="58"/>
      <c r="AH46" s="58"/>
      <c r="AI46" s="58"/>
      <c r="AJ46" s="58"/>
      <c r="AK46" s="58"/>
      <c r="AL46" s="58"/>
      <c r="AM46" s="58"/>
      <c r="AN46" s="58"/>
      <c r="AO46" s="58"/>
      <c r="AP46" s="58"/>
      <c r="AQ46" s="58"/>
      <c r="AR46" s="58"/>
      <c r="AS46" s="54"/>
      <c r="AT46" s="54"/>
      <c r="AU46" s="810"/>
      <c r="AV46" s="178"/>
    </row>
    <row r="47" spans="1:49" s="1" customFormat="1" ht="99" customHeight="1" thickBot="1">
      <c r="A47" s="860"/>
      <c r="B47" s="866"/>
      <c r="C47" s="791"/>
      <c r="D47" s="800"/>
      <c r="E47" s="798"/>
      <c r="F47" s="798"/>
      <c r="G47" s="798"/>
      <c r="H47" s="798"/>
      <c r="I47" s="798"/>
      <c r="J47" s="798"/>
      <c r="K47" s="798"/>
      <c r="L47" s="785"/>
      <c r="M47" s="785"/>
      <c r="N47" s="56"/>
      <c r="O47" s="798"/>
      <c r="P47" s="424" t="s">
        <v>713</v>
      </c>
      <c r="Q47" s="424" t="s">
        <v>19</v>
      </c>
      <c r="R47" s="424">
        <v>12</v>
      </c>
      <c r="S47" s="424">
        <v>3</v>
      </c>
      <c r="T47" s="424">
        <v>3</v>
      </c>
      <c r="U47" s="424">
        <v>3</v>
      </c>
      <c r="V47" s="410">
        <v>3</v>
      </c>
      <c r="W47" s="741"/>
      <c r="X47" s="706"/>
      <c r="Y47" s="726"/>
      <c r="Z47" s="726"/>
      <c r="AA47" s="505">
        <v>3</v>
      </c>
      <c r="AB47" s="388">
        <v>3</v>
      </c>
      <c r="AC47" s="388">
        <v>3</v>
      </c>
      <c r="AD47" s="76">
        <v>3</v>
      </c>
      <c r="AE47" s="287"/>
      <c r="AF47" s="58"/>
      <c r="AG47" s="58"/>
      <c r="AH47" s="58"/>
      <c r="AI47" s="58"/>
      <c r="AJ47" s="58"/>
      <c r="AK47" s="58"/>
      <c r="AL47" s="58"/>
      <c r="AM47" s="58"/>
      <c r="AN47" s="58"/>
      <c r="AO47" s="58"/>
      <c r="AP47" s="58"/>
      <c r="AQ47" s="58"/>
      <c r="AR47" s="58"/>
      <c r="AS47" s="54" t="s">
        <v>24</v>
      </c>
      <c r="AT47" s="54" t="s">
        <v>24</v>
      </c>
      <c r="AU47" s="810"/>
    </row>
    <row r="48" spans="1:49" s="1" customFormat="1" ht="99" customHeight="1" thickBot="1">
      <c r="A48" s="860"/>
      <c r="B48" s="866"/>
      <c r="C48" s="791"/>
      <c r="D48" s="800"/>
      <c r="E48" s="795" t="s">
        <v>113</v>
      </c>
      <c r="F48" s="795" t="s">
        <v>53</v>
      </c>
      <c r="G48" s="795">
        <v>84</v>
      </c>
      <c r="H48" s="795">
        <v>84</v>
      </c>
      <c r="I48" s="795" t="s">
        <v>122</v>
      </c>
      <c r="J48" s="795" t="s">
        <v>123</v>
      </c>
      <c r="K48" s="795" t="s">
        <v>18</v>
      </c>
      <c r="L48" s="783">
        <v>84</v>
      </c>
      <c r="M48" s="783">
        <v>84</v>
      </c>
      <c r="N48" s="783"/>
      <c r="O48" s="896" t="s">
        <v>124</v>
      </c>
      <c r="P48" s="424" t="s">
        <v>484</v>
      </c>
      <c r="Q48" s="424" t="s">
        <v>452</v>
      </c>
      <c r="R48" s="424">
        <v>2</v>
      </c>
      <c r="S48" s="424">
        <v>0</v>
      </c>
      <c r="T48" s="424">
        <v>1</v>
      </c>
      <c r="U48" s="424">
        <v>0</v>
      </c>
      <c r="V48" s="410">
        <v>1</v>
      </c>
      <c r="W48" s="741"/>
      <c r="X48" s="706"/>
      <c r="Y48" s="726"/>
      <c r="Z48" s="726"/>
      <c r="AA48" s="505">
        <v>0</v>
      </c>
      <c r="AB48" s="388">
        <v>1</v>
      </c>
      <c r="AC48" s="388">
        <v>0</v>
      </c>
      <c r="AD48" s="76">
        <v>1</v>
      </c>
      <c r="AE48" s="287"/>
      <c r="AF48" s="58"/>
      <c r="AG48" s="58"/>
      <c r="AH48" s="58"/>
      <c r="AI48" s="58"/>
      <c r="AJ48" s="58"/>
      <c r="AK48" s="58"/>
      <c r="AL48" s="58"/>
      <c r="AM48" s="58"/>
      <c r="AN48" s="58"/>
      <c r="AO48" s="58"/>
      <c r="AP48" s="58"/>
      <c r="AQ48" s="58"/>
      <c r="AR48" s="58"/>
      <c r="AS48" s="54"/>
      <c r="AT48" s="54"/>
      <c r="AU48" s="810"/>
    </row>
    <row r="49" spans="1:48" s="1" customFormat="1" ht="99" customHeight="1" thickBot="1">
      <c r="A49" s="860"/>
      <c r="B49" s="866"/>
      <c r="C49" s="791"/>
      <c r="D49" s="800"/>
      <c r="E49" s="800"/>
      <c r="F49" s="800"/>
      <c r="G49" s="800"/>
      <c r="H49" s="800"/>
      <c r="I49" s="800"/>
      <c r="J49" s="800"/>
      <c r="K49" s="800"/>
      <c r="L49" s="784"/>
      <c r="M49" s="784"/>
      <c r="N49" s="784"/>
      <c r="O49" s="866"/>
      <c r="P49" s="424" t="s">
        <v>485</v>
      </c>
      <c r="Q49" s="424" t="s">
        <v>452</v>
      </c>
      <c r="R49" s="424">
        <v>12</v>
      </c>
      <c r="S49" s="424">
        <v>3</v>
      </c>
      <c r="T49" s="424">
        <v>3</v>
      </c>
      <c r="U49" s="424">
        <v>3</v>
      </c>
      <c r="V49" s="410">
        <v>3</v>
      </c>
      <c r="W49" s="741"/>
      <c r="X49" s="706"/>
      <c r="Y49" s="726"/>
      <c r="Z49" s="726"/>
      <c r="AA49" s="505">
        <v>3</v>
      </c>
      <c r="AB49" s="388">
        <v>3</v>
      </c>
      <c r="AC49" s="388">
        <v>3</v>
      </c>
      <c r="AD49" s="76">
        <v>3</v>
      </c>
      <c r="AE49" s="287"/>
      <c r="AF49" s="58"/>
      <c r="AG49" s="58"/>
      <c r="AH49" s="58"/>
      <c r="AI49" s="58"/>
      <c r="AJ49" s="58"/>
      <c r="AK49" s="58" t="s">
        <v>1169</v>
      </c>
      <c r="AL49" s="58"/>
      <c r="AM49" s="58"/>
      <c r="AN49" s="58"/>
      <c r="AO49" s="58"/>
      <c r="AP49" s="58"/>
      <c r="AQ49" s="58"/>
      <c r="AR49" s="58"/>
      <c r="AS49" s="54"/>
      <c r="AT49" s="54"/>
      <c r="AU49" s="810"/>
    </row>
    <row r="50" spans="1:48" s="1" customFormat="1" ht="99" customHeight="1" thickBot="1">
      <c r="A50" s="860"/>
      <c r="B50" s="866"/>
      <c r="C50" s="791"/>
      <c r="D50" s="800"/>
      <c r="E50" s="800"/>
      <c r="F50" s="800"/>
      <c r="G50" s="800"/>
      <c r="H50" s="800"/>
      <c r="I50" s="800"/>
      <c r="J50" s="800"/>
      <c r="K50" s="800"/>
      <c r="L50" s="784"/>
      <c r="M50" s="784"/>
      <c r="N50" s="784"/>
      <c r="O50" s="866"/>
      <c r="P50" s="424" t="s">
        <v>486</v>
      </c>
      <c r="Q50" s="424" t="s">
        <v>452</v>
      </c>
      <c r="R50" s="424">
        <v>12</v>
      </c>
      <c r="S50" s="424">
        <v>3</v>
      </c>
      <c r="T50" s="424">
        <v>3</v>
      </c>
      <c r="U50" s="424">
        <v>3</v>
      </c>
      <c r="V50" s="410">
        <v>3</v>
      </c>
      <c r="W50" s="741"/>
      <c r="X50" s="706"/>
      <c r="Y50" s="726"/>
      <c r="Z50" s="726"/>
      <c r="AA50" s="505">
        <v>3</v>
      </c>
      <c r="AB50" s="388">
        <v>3</v>
      </c>
      <c r="AC50" s="388">
        <v>3</v>
      </c>
      <c r="AD50" s="76">
        <v>3</v>
      </c>
      <c r="AE50" s="287"/>
      <c r="AF50" s="58"/>
      <c r="AG50" s="58"/>
      <c r="AH50" s="58"/>
      <c r="AI50" s="58"/>
      <c r="AJ50" s="58"/>
      <c r="AK50" s="58" t="s">
        <v>1170</v>
      </c>
      <c r="AL50" s="58"/>
      <c r="AM50" s="58"/>
      <c r="AN50" s="58"/>
      <c r="AO50" s="58"/>
      <c r="AP50" s="58"/>
      <c r="AQ50" s="58"/>
      <c r="AR50" s="58"/>
      <c r="AS50" s="54"/>
      <c r="AT50" s="54"/>
      <c r="AU50" s="810"/>
    </row>
    <row r="51" spans="1:48" s="1" customFormat="1" ht="99" customHeight="1" thickBot="1">
      <c r="A51" s="860"/>
      <c r="B51" s="866"/>
      <c r="C51" s="791"/>
      <c r="D51" s="800"/>
      <c r="E51" s="800"/>
      <c r="F51" s="800"/>
      <c r="G51" s="800"/>
      <c r="H51" s="800"/>
      <c r="I51" s="800"/>
      <c r="J51" s="800"/>
      <c r="K51" s="800"/>
      <c r="L51" s="784"/>
      <c r="M51" s="784"/>
      <c r="N51" s="784"/>
      <c r="O51" s="866"/>
      <c r="P51" s="424" t="s">
        <v>488</v>
      </c>
      <c r="Q51" s="424" t="s">
        <v>452</v>
      </c>
      <c r="R51" s="424">
        <v>1</v>
      </c>
      <c r="S51" s="424">
        <v>0</v>
      </c>
      <c r="T51" s="424">
        <v>0</v>
      </c>
      <c r="U51" s="424">
        <v>0</v>
      </c>
      <c r="V51" s="410">
        <v>1</v>
      </c>
      <c r="W51" s="741"/>
      <c r="X51" s="706"/>
      <c r="Y51" s="726"/>
      <c r="Z51" s="726"/>
      <c r="AA51" s="505">
        <v>0</v>
      </c>
      <c r="AB51" s="388">
        <v>0</v>
      </c>
      <c r="AC51" s="388">
        <v>0</v>
      </c>
      <c r="AD51" s="76">
        <v>1</v>
      </c>
      <c r="AE51" s="287"/>
      <c r="AF51" s="58"/>
      <c r="AG51" s="58"/>
      <c r="AH51" s="58"/>
      <c r="AI51" s="58"/>
      <c r="AJ51" s="58"/>
      <c r="AK51" s="58"/>
      <c r="AL51" s="58"/>
      <c r="AM51" s="58"/>
      <c r="AN51" s="58"/>
      <c r="AO51" s="58"/>
      <c r="AP51" s="58"/>
      <c r="AQ51" s="58"/>
      <c r="AR51" s="58"/>
      <c r="AS51" s="54"/>
      <c r="AT51" s="54"/>
      <c r="AU51" s="810"/>
    </row>
    <row r="52" spans="1:48" s="1" customFormat="1" ht="126.75" customHeight="1" thickBot="1">
      <c r="A52" s="860"/>
      <c r="B52" s="866"/>
      <c r="C52" s="791"/>
      <c r="D52" s="800"/>
      <c r="E52" s="798"/>
      <c r="F52" s="798"/>
      <c r="G52" s="798"/>
      <c r="H52" s="798"/>
      <c r="I52" s="798"/>
      <c r="J52" s="798"/>
      <c r="K52" s="798"/>
      <c r="L52" s="785"/>
      <c r="M52" s="785"/>
      <c r="N52" s="785"/>
      <c r="O52" s="897"/>
      <c r="P52" s="424" t="s">
        <v>487</v>
      </c>
      <c r="Q52" s="424" t="s">
        <v>452</v>
      </c>
      <c r="R52" s="424">
        <v>12</v>
      </c>
      <c r="S52" s="424">
        <v>3</v>
      </c>
      <c r="T52" s="424">
        <v>3</v>
      </c>
      <c r="U52" s="424">
        <v>3</v>
      </c>
      <c r="V52" s="410">
        <v>3</v>
      </c>
      <c r="W52" s="741"/>
      <c r="X52" s="706"/>
      <c r="Y52" s="726"/>
      <c r="Z52" s="726"/>
      <c r="AA52" s="505">
        <v>3</v>
      </c>
      <c r="AB52" s="388">
        <v>3</v>
      </c>
      <c r="AC52" s="388">
        <v>3</v>
      </c>
      <c r="AD52" s="76">
        <v>3</v>
      </c>
      <c r="AE52" s="287"/>
      <c r="AF52" s="58"/>
      <c r="AG52" s="58"/>
      <c r="AH52" s="58"/>
      <c r="AI52" s="58"/>
      <c r="AJ52" s="58"/>
      <c r="AK52" s="58"/>
      <c r="AL52" s="58"/>
      <c r="AM52" s="58"/>
      <c r="AN52" s="58"/>
      <c r="AO52" s="58"/>
      <c r="AP52" s="58"/>
      <c r="AQ52" s="58"/>
      <c r="AR52" s="58"/>
      <c r="AS52" s="54" t="s">
        <v>24</v>
      </c>
      <c r="AT52" s="54" t="s">
        <v>24</v>
      </c>
      <c r="AU52" s="810"/>
      <c r="AV52" s="1" t="s">
        <v>348</v>
      </c>
    </row>
    <row r="53" spans="1:48" s="1" customFormat="1" ht="84" customHeight="1" thickBot="1">
      <c r="A53" s="860"/>
      <c r="B53" s="866"/>
      <c r="C53" s="791"/>
      <c r="D53" s="800"/>
      <c r="E53" s="795" t="s">
        <v>114</v>
      </c>
      <c r="F53" s="795" t="s">
        <v>53</v>
      </c>
      <c r="G53" s="795" t="s">
        <v>51</v>
      </c>
      <c r="H53" s="795">
        <v>80</v>
      </c>
      <c r="I53" s="795" t="s">
        <v>125</v>
      </c>
      <c r="J53" s="55" t="s">
        <v>126</v>
      </c>
      <c r="K53" s="55" t="s">
        <v>18</v>
      </c>
      <c r="L53" s="59">
        <v>0</v>
      </c>
      <c r="M53" s="59">
        <v>100</v>
      </c>
      <c r="N53" s="56"/>
      <c r="O53" s="795" t="s">
        <v>128</v>
      </c>
      <c r="P53" s="424" t="s">
        <v>714</v>
      </c>
      <c r="Q53" s="424" t="s">
        <v>17</v>
      </c>
      <c r="R53" s="424">
        <v>5</v>
      </c>
      <c r="S53" s="424">
        <v>2</v>
      </c>
      <c r="T53" s="424">
        <v>1</v>
      </c>
      <c r="U53" s="424">
        <v>1</v>
      </c>
      <c r="V53" s="410">
        <v>1</v>
      </c>
      <c r="W53" s="741"/>
      <c r="X53" s="706"/>
      <c r="Y53" s="726"/>
      <c r="Z53" s="726"/>
      <c r="AA53" s="498">
        <v>2</v>
      </c>
      <c r="AB53" s="388">
        <v>1</v>
      </c>
      <c r="AC53" s="388">
        <v>1</v>
      </c>
      <c r="AD53" s="76">
        <v>1</v>
      </c>
      <c r="AE53" s="287"/>
      <c r="AF53" s="58"/>
      <c r="AG53" s="58"/>
      <c r="AH53" s="58"/>
      <c r="AI53" s="58"/>
      <c r="AJ53" s="58"/>
      <c r="AK53" s="58"/>
      <c r="AL53" s="58"/>
      <c r="AM53" s="58"/>
      <c r="AN53" s="58"/>
      <c r="AO53" s="58"/>
      <c r="AP53" s="58"/>
      <c r="AQ53" s="58"/>
      <c r="AR53" s="58"/>
      <c r="AS53" s="54" t="s">
        <v>24</v>
      </c>
      <c r="AT53" s="54" t="s">
        <v>24</v>
      </c>
      <c r="AU53" s="810"/>
    </row>
    <row r="54" spans="1:48" s="1" customFormat="1" ht="89.25" customHeight="1" thickBot="1">
      <c r="A54" s="860"/>
      <c r="B54" s="866"/>
      <c r="C54" s="791"/>
      <c r="D54" s="800"/>
      <c r="E54" s="800"/>
      <c r="F54" s="800"/>
      <c r="G54" s="800"/>
      <c r="H54" s="800"/>
      <c r="I54" s="798"/>
      <c r="J54" s="55" t="s">
        <v>127</v>
      </c>
      <c r="K54" s="55" t="s">
        <v>18</v>
      </c>
      <c r="L54" s="59">
        <v>100</v>
      </c>
      <c r="M54" s="59">
        <v>100</v>
      </c>
      <c r="N54" s="56"/>
      <c r="O54" s="798"/>
      <c r="P54" s="424" t="s">
        <v>715</v>
      </c>
      <c r="Q54" s="424" t="s">
        <v>19</v>
      </c>
      <c r="R54" s="424">
        <v>5</v>
      </c>
      <c r="S54" s="424">
        <v>2</v>
      </c>
      <c r="T54" s="424">
        <v>1</v>
      </c>
      <c r="U54" s="424">
        <v>1</v>
      </c>
      <c r="V54" s="410">
        <v>1</v>
      </c>
      <c r="W54" s="741"/>
      <c r="X54" s="706"/>
      <c r="Y54" s="726"/>
      <c r="Z54" s="726"/>
      <c r="AA54" s="498">
        <v>2</v>
      </c>
      <c r="AB54" s="388">
        <v>0</v>
      </c>
      <c r="AC54" s="388">
        <v>1</v>
      </c>
      <c r="AD54" s="76">
        <v>1</v>
      </c>
      <c r="AE54" s="287"/>
      <c r="AF54" s="58"/>
      <c r="AG54" s="58"/>
      <c r="AH54" s="58"/>
      <c r="AI54" s="58"/>
      <c r="AJ54" s="58"/>
      <c r="AK54" s="58"/>
      <c r="AL54" s="58"/>
      <c r="AM54" s="58"/>
      <c r="AN54" s="58"/>
      <c r="AO54" s="58"/>
      <c r="AP54" s="58"/>
      <c r="AQ54" s="58"/>
      <c r="AR54" s="58"/>
      <c r="AS54" s="54" t="s">
        <v>24</v>
      </c>
      <c r="AT54" s="54" t="s">
        <v>24</v>
      </c>
      <c r="AU54" s="810"/>
    </row>
    <row r="55" spans="1:48" s="1" customFormat="1" ht="95.25" customHeight="1" thickBot="1">
      <c r="A55" s="861"/>
      <c r="B55" s="867"/>
      <c r="C55" s="792"/>
      <c r="D55" s="796"/>
      <c r="E55" s="796"/>
      <c r="F55" s="796"/>
      <c r="G55" s="796"/>
      <c r="H55" s="796"/>
      <c r="I55" s="66" t="s">
        <v>129</v>
      </c>
      <c r="J55" s="66" t="s">
        <v>130</v>
      </c>
      <c r="K55" s="66" t="s">
        <v>18</v>
      </c>
      <c r="L55" s="64" t="s">
        <v>51</v>
      </c>
      <c r="M55" s="64">
        <v>100</v>
      </c>
      <c r="N55" s="62"/>
      <c r="O55" s="64" t="s">
        <v>131</v>
      </c>
      <c r="P55" s="424" t="s">
        <v>716</v>
      </c>
      <c r="Q55" s="424" t="s">
        <v>17</v>
      </c>
      <c r="R55" s="424">
        <v>1</v>
      </c>
      <c r="S55" s="424">
        <v>1</v>
      </c>
      <c r="T55" s="424">
        <v>0</v>
      </c>
      <c r="U55" s="424">
        <v>0</v>
      </c>
      <c r="V55" s="416">
        <v>0</v>
      </c>
      <c r="W55" s="888"/>
      <c r="X55" s="731"/>
      <c r="Y55" s="727"/>
      <c r="Z55" s="727"/>
      <c r="AA55" s="498">
        <v>1</v>
      </c>
      <c r="AB55" s="388">
        <v>1</v>
      </c>
      <c r="AC55" s="388">
        <v>0</v>
      </c>
      <c r="AD55" s="76">
        <v>1</v>
      </c>
      <c r="AE55" s="287"/>
      <c r="AF55" s="58"/>
      <c r="AG55" s="58"/>
      <c r="AH55" s="58"/>
      <c r="AI55" s="58"/>
      <c r="AJ55" s="58"/>
      <c r="AK55" s="58"/>
      <c r="AL55" s="58"/>
      <c r="AM55" s="58"/>
      <c r="AN55" s="58"/>
      <c r="AO55" s="58"/>
      <c r="AP55" s="58"/>
      <c r="AQ55" s="58"/>
      <c r="AR55" s="58"/>
      <c r="AS55" s="54" t="s">
        <v>24</v>
      </c>
      <c r="AT55" s="54" t="s">
        <v>24</v>
      </c>
      <c r="AU55" s="811"/>
    </row>
    <row r="56" spans="1:48" s="1" customFormat="1" ht="99.75" customHeight="1" thickBot="1">
      <c r="A56" s="780" t="s">
        <v>132</v>
      </c>
      <c r="B56" s="765" t="s">
        <v>133</v>
      </c>
      <c r="C56" s="765" t="s">
        <v>223</v>
      </c>
      <c r="D56" s="765" t="s">
        <v>134</v>
      </c>
      <c r="E56" s="765" t="s">
        <v>135</v>
      </c>
      <c r="F56" s="765" t="s">
        <v>17</v>
      </c>
      <c r="G56" s="765" t="s">
        <v>51</v>
      </c>
      <c r="H56" s="765">
        <v>0</v>
      </c>
      <c r="I56" s="765" t="s">
        <v>137</v>
      </c>
      <c r="J56" s="765" t="s">
        <v>139</v>
      </c>
      <c r="K56" s="765" t="s">
        <v>17</v>
      </c>
      <c r="L56" s="765" t="s">
        <v>51</v>
      </c>
      <c r="M56" s="765">
        <v>0</v>
      </c>
      <c r="N56" s="399"/>
      <c r="O56" s="738" t="s">
        <v>142</v>
      </c>
      <c r="P56" s="424" t="s">
        <v>723</v>
      </c>
      <c r="Q56" s="424" t="s">
        <v>17</v>
      </c>
      <c r="R56" s="424">
        <v>5</v>
      </c>
      <c r="S56" s="424">
        <v>2</v>
      </c>
      <c r="T56" s="424">
        <v>2</v>
      </c>
      <c r="U56" s="424">
        <v>1</v>
      </c>
      <c r="V56" s="410" t="s">
        <v>719</v>
      </c>
      <c r="W56" s="891" t="s">
        <v>766</v>
      </c>
      <c r="X56" s="705"/>
      <c r="Y56" s="732">
        <v>1032521509</v>
      </c>
      <c r="Z56" s="732">
        <f>+Y56</f>
        <v>1032521509</v>
      </c>
      <c r="AA56" s="498">
        <v>2</v>
      </c>
      <c r="AB56" s="388">
        <v>2</v>
      </c>
      <c r="AC56" s="388">
        <v>1</v>
      </c>
      <c r="AD56" s="76">
        <v>0</v>
      </c>
      <c r="AE56" s="288"/>
      <c r="AF56" s="172"/>
      <c r="AG56" s="172"/>
      <c r="AH56" s="213"/>
      <c r="AI56" s="213"/>
      <c r="AJ56" s="213"/>
      <c r="AK56" s="213"/>
      <c r="AL56" s="213"/>
      <c r="AM56" s="213"/>
      <c r="AN56" s="213"/>
      <c r="AO56" s="213"/>
      <c r="AP56" s="213"/>
      <c r="AQ56" s="213"/>
      <c r="AR56" s="213"/>
      <c r="AS56" s="71" t="s">
        <v>342</v>
      </c>
      <c r="AT56" s="71" t="s">
        <v>342</v>
      </c>
      <c r="AU56" s="167"/>
    </row>
    <row r="57" spans="1:48" s="1" customFormat="1" ht="99.75" customHeight="1" thickBot="1">
      <c r="A57" s="761"/>
      <c r="B57" s="752"/>
      <c r="C57" s="752"/>
      <c r="D57" s="752"/>
      <c r="E57" s="752"/>
      <c r="F57" s="752"/>
      <c r="G57" s="752"/>
      <c r="H57" s="752"/>
      <c r="I57" s="752"/>
      <c r="J57" s="752"/>
      <c r="K57" s="752"/>
      <c r="L57" s="752"/>
      <c r="M57" s="752"/>
      <c r="N57" s="201"/>
      <c r="O57" s="735"/>
      <c r="P57" s="424" t="s">
        <v>724</v>
      </c>
      <c r="Q57" s="424" t="s">
        <v>17</v>
      </c>
      <c r="R57" s="424">
        <v>30</v>
      </c>
      <c r="S57" s="424">
        <v>10</v>
      </c>
      <c r="T57" s="424">
        <v>5</v>
      </c>
      <c r="U57" s="424">
        <v>5</v>
      </c>
      <c r="V57" s="410">
        <v>10</v>
      </c>
      <c r="W57" s="741"/>
      <c r="X57" s="706"/>
      <c r="Y57" s="726"/>
      <c r="Z57" s="726"/>
      <c r="AA57" s="498">
        <v>10</v>
      </c>
      <c r="AB57" s="388">
        <v>5</v>
      </c>
      <c r="AC57" s="388">
        <v>5</v>
      </c>
      <c r="AD57" s="76">
        <v>10</v>
      </c>
      <c r="AE57" s="291"/>
      <c r="AF57" s="78"/>
      <c r="AG57" s="78"/>
      <c r="AH57" s="221"/>
      <c r="AI57" s="221"/>
      <c r="AJ57" s="221"/>
      <c r="AK57" s="221"/>
      <c r="AL57" s="221"/>
      <c r="AM57" s="221"/>
      <c r="AN57" s="221"/>
      <c r="AO57" s="221"/>
      <c r="AP57" s="221"/>
      <c r="AQ57" s="221"/>
      <c r="AR57" s="221"/>
      <c r="AS57" s="71" t="s">
        <v>342</v>
      </c>
      <c r="AT57" s="71" t="s">
        <v>342</v>
      </c>
      <c r="AU57" s="809" t="s">
        <v>341</v>
      </c>
    </row>
    <row r="58" spans="1:48" s="1" customFormat="1" ht="99.75" customHeight="1" thickBot="1">
      <c r="A58" s="761"/>
      <c r="B58" s="752"/>
      <c r="C58" s="752"/>
      <c r="D58" s="752"/>
      <c r="E58" s="752"/>
      <c r="F58" s="752"/>
      <c r="G58" s="752"/>
      <c r="H58" s="752"/>
      <c r="I58" s="752"/>
      <c r="J58" s="752"/>
      <c r="K58" s="752"/>
      <c r="L58" s="752"/>
      <c r="M58" s="752"/>
      <c r="N58" s="201"/>
      <c r="O58" s="735"/>
      <c r="P58" s="424" t="s">
        <v>725</v>
      </c>
      <c r="Q58" s="641" t="s">
        <v>358</v>
      </c>
      <c r="R58" s="641">
        <v>100</v>
      </c>
      <c r="S58" s="641">
        <v>25</v>
      </c>
      <c r="T58" s="641">
        <v>25</v>
      </c>
      <c r="U58" s="641">
        <v>25</v>
      </c>
      <c r="V58" s="444">
        <v>25</v>
      </c>
      <c r="W58" s="741"/>
      <c r="X58" s="706"/>
      <c r="Y58" s="726"/>
      <c r="Z58" s="726"/>
      <c r="AA58" s="642">
        <v>25</v>
      </c>
      <c r="AB58" s="649">
        <v>25</v>
      </c>
      <c r="AC58" s="388">
        <v>25</v>
      </c>
      <c r="AD58" s="76">
        <v>25</v>
      </c>
      <c r="AE58" s="291"/>
      <c r="AF58" s="78"/>
      <c r="AG58" s="78"/>
      <c r="AH58" s="221"/>
      <c r="AI58" s="221"/>
      <c r="AJ58" s="221"/>
      <c r="AK58" s="221"/>
      <c r="AL58" s="221"/>
      <c r="AM58" s="221"/>
      <c r="AN58" s="221"/>
      <c r="AO58" s="221"/>
      <c r="AP58" s="221"/>
      <c r="AQ58" s="221"/>
      <c r="AR58" s="221"/>
      <c r="AS58" s="71" t="s">
        <v>342</v>
      </c>
      <c r="AT58" s="71" t="s">
        <v>342</v>
      </c>
      <c r="AU58" s="810"/>
    </row>
    <row r="59" spans="1:48" s="1" customFormat="1" ht="99.75" customHeight="1" thickBot="1">
      <c r="A59" s="761"/>
      <c r="B59" s="752"/>
      <c r="C59" s="752"/>
      <c r="D59" s="752"/>
      <c r="E59" s="752"/>
      <c r="F59" s="752"/>
      <c r="G59" s="752"/>
      <c r="H59" s="752"/>
      <c r="I59" s="752"/>
      <c r="J59" s="752"/>
      <c r="K59" s="752"/>
      <c r="L59" s="752"/>
      <c r="M59" s="752"/>
      <c r="N59" s="201"/>
      <c r="O59" s="735"/>
      <c r="P59" s="424" t="s">
        <v>721</v>
      </c>
      <c r="Q59" s="641" t="s">
        <v>722</v>
      </c>
      <c r="R59" s="641">
        <v>10</v>
      </c>
      <c r="S59" s="641">
        <v>10</v>
      </c>
      <c r="T59" s="641">
        <v>10</v>
      </c>
      <c r="U59" s="641">
        <v>10</v>
      </c>
      <c r="V59" s="444">
        <v>10</v>
      </c>
      <c r="W59" s="741"/>
      <c r="X59" s="706"/>
      <c r="Y59" s="726"/>
      <c r="Z59" s="726"/>
      <c r="AA59" s="642">
        <v>10</v>
      </c>
      <c r="AB59" s="649">
        <v>10</v>
      </c>
      <c r="AC59" s="388">
        <v>10</v>
      </c>
      <c r="AD59" s="76">
        <v>10</v>
      </c>
      <c r="AE59" s="291"/>
      <c r="AF59" s="78"/>
      <c r="AG59" s="78"/>
      <c r="AH59" s="221"/>
      <c r="AI59" s="221"/>
      <c r="AJ59" s="221"/>
      <c r="AK59" s="221"/>
      <c r="AL59" s="221"/>
      <c r="AM59" s="221"/>
      <c r="AN59" s="221"/>
      <c r="AO59" s="221"/>
      <c r="AP59" s="221"/>
      <c r="AQ59" s="221"/>
      <c r="AR59" s="221"/>
      <c r="AS59" s="71"/>
      <c r="AT59" s="71"/>
      <c r="AU59" s="810"/>
    </row>
    <row r="60" spans="1:48" s="1" customFormat="1" ht="99.75" customHeight="1" thickBot="1">
      <c r="A60" s="761"/>
      <c r="B60" s="752"/>
      <c r="C60" s="752"/>
      <c r="D60" s="752"/>
      <c r="E60" s="752"/>
      <c r="F60" s="752"/>
      <c r="G60" s="752"/>
      <c r="H60" s="752"/>
      <c r="I60" s="752"/>
      <c r="J60" s="752"/>
      <c r="K60" s="752"/>
      <c r="L60" s="752"/>
      <c r="M60" s="752"/>
      <c r="N60" s="201"/>
      <c r="O60" s="735"/>
      <c r="P60" s="424" t="s">
        <v>720</v>
      </c>
      <c r="Q60" s="424" t="s">
        <v>86</v>
      </c>
      <c r="R60" s="424">
        <v>2</v>
      </c>
      <c r="S60" s="424">
        <v>2</v>
      </c>
      <c r="T60" s="424">
        <v>2</v>
      </c>
      <c r="U60" s="424">
        <v>2</v>
      </c>
      <c r="V60" s="410">
        <v>2</v>
      </c>
      <c r="W60" s="741"/>
      <c r="X60" s="706"/>
      <c r="Y60" s="726"/>
      <c r="Z60" s="726"/>
      <c r="AA60" s="388">
        <v>2</v>
      </c>
      <c r="AB60" s="388">
        <v>2</v>
      </c>
      <c r="AC60" s="388">
        <v>2</v>
      </c>
      <c r="AD60" s="76">
        <v>2</v>
      </c>
      <c r="AE60" s="291"/>
      <c r="AF60" s="78"/>
      <c r="AG60" s="78"/>
      <c r="AH60" s="221"/>
      <c r="AI60" s="221"/>
      <c r="AJ60" s="221"/>
      <c r="AK60" s="221"/>
      <c r="AL60" s="221"/>
      <c r="AM60" s="221"/>
      <c r="AN60" s="221"/>
      <c r="AO60" s="221"/>
      <c r="AP60" s="221"/>
      <c r="AQ60" s="221"/>
      <c r="AR60" s="221"/>
      <c r="AS60" s="71"/>
      <c r="AT60" s="71"/>
      <c r="AU60" s="810"/>
    </row>
    <row r="61" spans="1:48" s="1" customFormat="1" ht="99.75" customHeight="1" thickBot="1">
      <c r="A61" s="761"/>
      <c r="B61" s="752"/>
      <c r="C61" s="752"/>
      <c r="D61" s="752"/>
      <c r="E61" s="752"/>
      <c r="F61" s="752"/>
      <c r="G61" s="752"/>
      <c r="H61" s="752"/>
      <c r="I61" s="752"/>
      <c r="J61" s="766"/>
      <c r="K61" s="766"/>
      <c r="L61" s="766"/>
      <c r="M61" s="766"/>
      <c r="N61" s="201"/>
      <c r="O61" s="735"/>
      <c r="P61" s="424" t="s">
        <v>726</v>
      </c>
      <c r="Q61" s="641" t="s">
        <v>18</v>
      </c>
      <c r="R61" s="641">
        <v>100</v>
      </c>
      <c r="S61" s="641">
        <v>25</v>
      </c>
      <c r="T61" s="641">
        <v>25</v>
      </c>
      <c r="U61" s="641">
        <v>25</v>
      </c>
      <c r="V61" s="444">
        <v>25</v>
      </c>
      <c r="W61" s="890"/>
      <c r="X61" s="707"/>
      <c r="Y61" s="727"/>
      <c r="Z61" s="727"/>
      <c r="AA61" s="642">
        <v>25</v>
      </c>
      <c r="AB61" s="649">
        <v>25</v>
      </c>
      <c r="AC61" s="388">
        <v>25</v>
      </c>
      <c r="AD61" s="76">
        <v>25</v>
      </c>
      <c r="AE61" s="291"/>
      <c r="AF61" s="78"/>
      <c r="AG61" s="78"/>
      <c r="AH61" s="221"/>
      <c r="AI61" s="221"/>
      <c r="AJ61" s="221"/>
      <c r="AK61" s="221"/>
      <c r="AL61" s="221"/>
      <c r="AM61" s="221"/>
      <c r="AN61" s="221"/>
      <c r="AO61" s="221"/>
      <c r="AP61" s="221"/>
      <c r="AQ61" s="221"/>
      <c r="AR61" s="221"/>
      <c r="AS61" s="71" t="s">
        <v>342</v>
      </c>
      <c r="AT61" s="71" t="s">
        <v>342</v>
      </c>
      <c r="AU61" s="810"/>
    </row>
    <row r="62" spans="1:48" s="1" customFormat="1" ht="73.5" customHeight="1" thickBot="1">
      <c r="A62" s="761"/>
      <c r="B62" s="752"/>
      <c r="C62" s="752"/>
      <c r="D62" s="752"/>
      <c r="E62" s="752"/>
      <c r="F62" s="752"/>
      <c r="G62" s="752"/>
      <c r="H62" s="752"/>
      <c r="I62" s="752"/>
      <c r="J62" s="765" t="s">
        <v>138</v>
      </c>
      <c r="K62" s="765" t="s">
        <v>17</v>
      </c>
      <c r="L62" s="765" t="s">
        <v>51</v>
      </c>
      <c r="M62" s="765">
        <v>1</v>
      </c>
      <c r="N62" s="201"/>
      <c r="O62" s="735"/>
      <c r="P62" s="424" t="s">
        <v>796</v>
      </c>
      <c r="Q62" s="424" t="s">
        <v>17</v>
      </c>
      <c r="R62" s="424">
        <v>1</v>
      </c>
      <c r="S62" s="424">
        <v>0</v>
      </c>
      <c r="T62" s="424">
        <v>1</v>
      </c>
      <c r="U62" s="424">
        <v>0</v>
      </c>
      <c r="V62" s="410">
        <v>0</v>
      </c>
      <c r="W62" s="740" t="s">
        <v>771</v>
      </c>
      <c r="X62" s="889"/>
      <c r="Y62" s="732">
        <f>2400000000+22050000000+39748140696+7339885489</f>
        <v>71538026185</v>
      </c>
      <c r="Z62" s="732">
        <f>+Y62</f>
        <v>71538026185</v>
      </c>
      <c r="AA62" s="506">
        <v>0</v>
      </c>
      <c r="AB62" s="388">
        <v>1</v>
      </c>
      <c r="AC62" s="388">
        <v>0</v>
      </c>
      <c r="AD62" s="76">
        <v>0</v>
      </c>
      <c r="AE62" s="291"/>
      <c r="AF62" s="78"/>
      <c r="AG62" s="78"/>
      <c r="AH62" s="221"/>
      <c r="AI62" s="221"/>
      <c r="AJ62" s="221"/>
      <c r="AK62" s="221"/>
      <c r="AL62" s="221"/>
      <c r="AM62" s="221"/>
      <c r="AN62" s="221"/>
      <c r="AO62" s="221"/>
      <c r="AP62" s="221"/>
      <c r="AQ62" s="221"/>
      <c r="AR62" s="221"/>
      <c r="AS62" s="71" t="s">
        <v>342</v>
      </c>
      <c r="AT62" s="71" t="s">
        <v>342</v>
      </c>
      <c r="AU62" s="810"/>
    </row>
    <row r="63" spans="1:48" s="1" customFormat="1" ht="99.75" customHeight="1" thickBot="1">
      <c r="A63" s="761"/>
      <c r="B63" s="752"/>
      <c r="C63" s="752"/>
      <c r="D63" s="752"/>
      <c r="E63" s="752"/>
      <c r="F63" s="752"/>
      <c r="G63" s="752"/>
      <c r="H63" s="752"/>
      <c r="I63" s="752"/>
      <c r="J63" s="752"/>
      <c r="K63" s="752"/>
      <c r="L63" s="752"/>
      <c r="M63" s="752"/>
      <c r="N63" s="201"/>
      <c r="O63" s="735"/>
      <c r="P63" s="424" t="s">
        <v>797</v>
      </c>
      <c r="Q63" s="424" t="s">
        <v>17</v>
      </c>
      <c r="R63" s="424">
        <v>1</v>
      </c>
      <c r="S63" s="424">
        <v>0</v>
      </c>
      <c r="T63" s="424">
        <v>0</v>
      </c>
      <c r="U63" s="424">
        <v>1</v>
      </c>
      <c r="V63" s="410">
        <v>0</v>
      </c>
      <c r="W63" s="741"/>
      <c r="X63" s="706"/>
      <c r="Y63" s="726"/>
      <c r="Z63" s="726"/>
      <c r="AA63" s="506">
        <v>0</v>
      </c>
      <c r="AB63" s="388">
        <v>0</v>
      </c>
      <c r="AC63" s="388">
        <v>1</v>
      </c>
      <c r="AD63" s="76">
        <v>0</v>
      </c>
      <c r="AE63" s="291"/>
      <c r="AF63" s="78"/>
      <c r="AG63" s="78"/>
      <c r="AH63" s="221"/>
      <c r="AI63" s="221"/>
      <c r="AJ63" s="221"/>
      <c r="AK63" s="221"/>
      <c r="AL63" s="221"/>
      <c r="AM63" s="221"/>
      <c r="AN63" s="221"/>
      <c r="AO63" s="221"/>
      <c r="AP63" s="221"/>
      <c r="AQ63" s="221"/>
      <c r="AR63" s="221"/>
      <c r="AS63" s="71"/>
      <c r="AT63" s="71"/>
      <c r="AU63" s="810"/>
    </row>
    <row r="64" spans="1:48" s="1" customFormat="1" ht="52.5" customHeight="1" thickBot="1">
      <c r="A64" s="761"/>
      <c r="B64" s="752"/>
      <c r="C64" s="752"/>
      <c r="D64" s="752"/>
      <c r="E64" s="752"/>
      <c r="F64" s="752"/>
      <c r="G64" s="752"/>
      <c r="H64" s="752"/>
      <c r="I64" s="752"/>
      <c r="J64" s="754" t="s">
        <v>140</v>
      </c>
      <c r="K64" s="754" t="s">
        <v>17</v>
      </c>
      <c r="L64" s="754" t="s">
        <v>51</v>
      </c>
      <c r="M64" s="754">
        <v>1</v>
      </c>
      <c r="N64" s="201"/>
      <c r="O64" s="735"/>
      <c r="P64" s="424" t="s">
        <v>860</v>
      </c>
      <c r="Q64" s="424" t="s">
        <v>17</v>
      </c>
      <c r="R64" s="424">
        <v>1</v>
      </c>
      <c r="S64" s="424">
        <v>1</v>
      </c>
      <c r="T64" s="424">
        <v>0</v>
      </c>
      <c r="U64" s="424">
        <v>0</v>
      </c>
      <c r="V64" s="410">
        <v>0</v>
      </c>
      <c r="W64" s="741"/>
      <c r="X64" s="706"/>
      <c r="Y64" s="726"/>
      <c r="Z64" s="726"/>
      <c r="AA64" s="498">
        <v>1</v>
      </c>
      <c r="AB64" s="388">
        <v>0</v>
      </c>
      <c r="AC64" s="388">
        <v>0</v>
      </c>
      <c r="AD64" s="76">
        <v>0</v>
      </c>
      <c r="AE64" s="291"/>
      <c r="AF64" s="78"/>
      <c r="AG64" s="78"/>
      <c r="AH64" s="221"/>
      <c r="AI64" s="221"/>
      <c r="AJ64" s="221"/>
      <c r="AK64" s="221"/>
      <c r="AL64" s="221"/>
      <c r="AM64" s="221"/>
      <c r="AN64" s="221"/>
      <c r="AO64" s="221"/>
      <c r="AP64" s="221"/>
      <c r="AQ64" s="221"/>
      <c r="AR64" s="221"/>
      <c r="AS64" s="71" t="s">
        <v>342</v>
      </c>
      <c r="AT64" s="71" t="s">
        <v>342</v>
      </c>
      <c r="AU64" s="810"/>
    </row>
    <row r="65" spans="1:47" s="1" customFormat="1" ht="99.75" customHeight="1" thickBot="1">
      <c r="A65" s="761"/>
      <c r="B65" s="752"/>
      <c r="C65" s="752"/>
      <c r="D65" s="752"/>
      <c r="E65" s="752"/>
      <c r="F65" s="752"/>
      <c r="G65" s="752"/>
      <c r="H65" s="752"/>
      <c r="I65" s="752"/>
      <c r="J65" s="752"/>
      <c r="K65" s="752"/>
      <c r="L65" s="752"/>
      <c r="M65" s="752"/>
      <c r="N65" s="201"/>
      <c r="O65" s="735"/>
      <c r="P65" s="424" t="s">
        <v>798</v>
      </c>
      <c r="Q65" s="424" t="s">
        <v>17</v>
      </c>
      <c r="R65" s="424">
        <v>1</v>
      </c>
      <c r="S65" s="424">
        <v>1</v>
      </c>
      <c r="T65" s="424">
        <v>0</v>
      </c>
      <c r="U65" s="424">
        <v>0</v>
      </c>
      <c r="V65" s="410">
        <v>0</v>
      </c>
      <c r="W65" s="741"/>
      <c r="X65" s="706"/>
      <c r="Y65" s="726"/>
      <c r="Z65" s="726"/>
      <c r="AA65" s="498">
        <v>1</v>
      </c>
      <c r="AB65" s="388">
        <v>0</v>
      </c>
      <c r="AC65" s="388">
        <v>0</v>
      </c>
      <c r="AD65" s="76">
        <v>0</v>
      </c>
      <c r="AE65" s="291"/>
      <c r="AF65" s="78"/>
      <c r="AG65" s="78"/>
      <c r="AH65" s="221"/>
      <c r="AI65" s="221"/>
      <c r="AJ65" s="221"/>
      <c r="AK65" s="221"/>
      <c r="AL65" s="221"/>
      <c r="AM65" s="221"/>
      <c r="AN65" s="221"/>
      <c r="AO65" s="221"/>
      <c r="AP65" s="221"/>
      <c r="AQ65" s="221"/>
      <c r="AR65" s="221"/>
      <c r="AS65" s="71"/>
      <c r="AT65" s="71"/>
      <c r="AU65" s="810"/>
    </row>
    <row r="66" spans="1:47" s="1" customFormat="1" ht="72.75" customHeight="1" thickBot="1">
      <c r="A66" s="761"/>
      <c r="B66" s="752"/>
      <c r="C66" s="752"/>
      <c r="D66" s="752"/>
      <c r="E66" s="752"/>
      <c r="F66" s="752"/>
      <c r="G66" s="752"/>
      <c r="H66" s="752"/>
      <c r="I66" s="752"/>
      <c r="J66" s="752"/>
      <c r="K66" s="752"/>
      <c r="L66" s="752"/>
      <c r="M66" s="752"/>
      <c r="N66" s="201"/>
      <c r="O66" s="735"/>
      <c r="P66" s="424" t="s">
        <v>799</v>
      </c>
      <c r="Q66" s="424" t="s">
        <v>17</v>
      </c>
      <c r="R66" s="424">
        <v>1</v>
      </c>
      <c r="S66" s="424">
        <v>0</v>
      </c>
      <c r="T66" s="424">
        <v>1</v>
      </c>
      <c r="U66" s="424">
        <v>0</v>
      </c>
      <c r="V66" s="410">
        <v>0</v>
      </c>
      <c r="W66" s="741"/>
      <c r="X66" s="706"/>
      <c r="Y66" s="726"/>
      <c r="Z66" s="726"/>
      <c r="AA66" s="498">
        <v>1</v>
      </c>
      <c r="AB66" s="388">
        <v>1</v>
      </c>
      <c r="AC66" s="388">
        <v>0</v>
      </c>
      <c r="AD66" s="76">
        <v>0</v>
      </c>
      <c r="AE66" s="291"/>
      <c r="AF66" s="78"/>
      <c r="AG66" s="78"/>
      <c r="AH66" s="221"/>
      <c r="AI66" s="221"/>
      <c r="AJ66" s="221"/>
      <c r="AK66" s="221"/>
      <c r="AL66" s="221"/>
      <c r="AM66" s="221"/>
      <c r="AN66" s="221"/>
      <c r="AO66" s="221"/>
      <c r="AP66" s="221"/>
      <c r="AQ66" s="221"/>
      <c r="AR66" s="221"/>
      <c r="AS66" s="71"/>
      <c r="AT66" s="71"/>
      <c r="AU66" s="810"/>
    </row>
    <row r="67" spans="1:47" s="1" customFormat="1" ht="69" customHeight="1" thickBot="1">
      <c r="A67" s="761"/>
      <c r="B67" s="752"/>
      <c r="C67" s="752"/>
      <c r="D67" s="752"/>
      <c r="E67" s="752"/>
      <c r="F67" s="752"/>
      <c r="G67" s="752"/>
      <c r="H67" s="752"/>
      <c r="I67" s="752"/>
      <c r="J67" s="752"/>
      <c r="K67" s="752"/>
      <c r="L67" s="752"/>
      <c r="M67" s="752"/>
      <c r="N67" s="201"/>
      <c r="O67" s="735"/>
      <c r="P67" s="424" t="s">
        <v>800</v>
      </c>
      <c r="Q67" s="424" t="s">
        <v>17</v>
      </c>
      <c r="R67" s="424">
        <v>1</v>
      </c>
      <c r="S67" s="424">
        <v>1</v>
      </c>
      <c r="T67" s="424">
        <v>0</v>
      </c>
      <c r="U67" s="424">
        <v>0</v>
      </c>
      <c r="V67" s="410">
        <v>0</v>
      </c>
      <c r="W67" s="741"/>
      <c r="X67" s="706"/>
      <c r="Y67" s="726"/>
      <c r="Z67" s="726"/>
      <c r="AA67" s="498">
        <v>1</v>
      </c>
      <c r="AB67" s="388">
        <v>0</v>
      </c>
      <c r="AC67" s="388">
        <v>0</v>
      </c>
      <c r="AD67" s="76">
        <v>0</v>
      </c>
      <c r="AE67" s="291"/>
      <c r="AF67" s="78"/>
      <c r="AG67" s="78"/>
      <c r="AH67" s="221"/>
      <c r="AI67" s="221"/>
      <c r="AJ67" s="221"/>
      <c r="AK67" s="221"/>
      <c r="AL67" s="221"/>
      <c r="AM67" s="221"/>
      <c r="AN67" s="221"/>
      <c r="AO67" s="221"/>
      <c r="AP67" s="221"/>
      <c r="AQ67" s="221"/>
      <c r="AR67" s="221"/>
      <c r="AS67" s="71"/>
      <c r="AT67" s="71"/>
      <c r="AU67" s="810"/>
    </row>
    <row r="68" spans="1:47" s="1" customFormat="1" ht="68.25" customHeight="1" thickBot="1">
      <c r="A68" s="761"/>
      <c r="B68" s="752"/>
      <c r="C68" s="752"/>
      <c r="D68" s="752"/>
      <c r="E68" s="752"/>
      <c r="F68" s="752"/>
      <c r="G68" s="752"/>
      <c r="H68" s="752"/>
      <c r="I68" s="752"/>
      <c r="J68" s="753"/>
      <c r="K68" s="753"/>
      <c r="L68" s="753"/>
      <c r="M68" s="753"/>
      <c r="N68" s="74"/>
      <c r="O68" s="735"/>
      <c r="P68" s="424" t="s">
        <v>801</v>
      </c>
      <c r="Q68" s="424" t="s">
        <v>17</v>
      </c>
      <c r="R68" s="424">
        <v>1</v>
      </c>
      <c r="S68" s="424">
        <v>1</v>
      </c>
      <c r="T68" s="424">
        <v>0</v>
      </c>
      <c r="U68" s="424">
        <v>0</v>
      </c>
      <c r="V68" s="410">
        <v>0</v>
      </c>
      <c r="W68" s="741"/>
      <c r="X68" s="706"/>
      <c r="Y68" s="726"/>
      <c r="Z68" s="726"/>
      <c r="AA68" s="498">
        <v>1</v>
      </c>
      <c r="AB68" s="388">
        <v>0</v>
      </c>
      <c r="AC68" s="388">
        <v>0</v>
      </c>
      <c r="AD68" s="76">
        <v>0</v>
      </c>
      <c r="AE68" s="291"/>
      <c r="AF68" s="78"/>
      <c r="AG68" s="78"/>
      <c r="AH68" s="221"/>
      <c r="AI68" s="221"/>
      <c r="AJ68" s="221"/>
      <c r="AK68" s="221"/>
      <c r="AL68" s="221"/>
      <c r="AM68" s="221"/>
      <c r="AN68" s="221"/>
      <c r="AO68" s="221"/>
      <c r="AP68" s="221"/>
      <c r="AQ68" s="221"/>
      <c r="AR68" s="221"/>
      <c r="AS68" s="71"/>
      <c r="AT68" s="71"/>
      <c r="AU68" s="810"/>
    </row>
    <row r="69" spans="1:47" s="1" customFormat="1" ht="68.25" customHeight="1" thickBot="1">
      <c r="A69" s="761"/>
      <c r="B69" s="752"/>
      <c r="C69" s="752"/>
      <c r="D69" s="752"/>
      <c r="E69" s="753"/>
      <c r="F69" s="753"/>
      <c r="G69" s="753"/>
      <c r="H69" s="753"/>
      <c r="I69" s="753"/>
      <c r="J69" s="754" t="s">
        <v>141</v>
      </c>
      <c r="K69" s="754" t="s">
        <v>17</v>
      </c>
      <c r="L69" s="754" t="s">
        <v>51</v>
      </c>
      <c r="M69" s="754">
        <v>1</v>
      </c>
      <c r="N69" s="400"/>
      <c r="O69" s="735"/>
      <c r="P69" s="424" t="s">
        <v>802</v>
      </c>
      <c r="Q69" s="424" t="s">
        <v>17</v>
      </c>
      <c r="R69" s="424">
        <v>1</v>
      </c>
      <c r="S69" s="424">
        <v>0</v>
      </c>
      <c r="T69" s="424">
        <v>1</v>
      </c>
      <c r="U69" s="424">
        <v>0</v>
      </c>
      <c r="V69" s="410">
        <v>0</v>
      </c>
      <c r="W69" s="741"/>
      <c r="X69" s="706"/>
      <c r="Y69" s="726"/>
      <c r="Z69" s="726"/>
      <c r="AA69" s="498">
        <v>1</v>
      </c>
      <c r="AB69" s="388">
        <v>1</v>
      </c>
      <c r="AC69" s="388">
        <v>0</v>
      </c>
      <c r="AD69" s="76">
        <v>0</v>
      </c>
      <c r="AE69" s="291"/>
      <c r="AF69" s="78"/>
      <c r="AG69" s="78"/>
      <c r="AH69" s="221"/>
      <c r="AI69" s="221"/>
      <c r="AJ69" s="221"/>
      <c r="AK69" s="221"/>
      <c r="AL69" s="221"/>
      <c r="AM69" s="221"/>
      <c r="AN69" s="221"/>
      <c r="AO69" s="221"/>
      <c r="AP69" s="221"/>
      <c r="AQ69" s="221"/>
      <c r="AR69" s="221"/>
      <c r="AS69" s="71" t="s">
        <v>342</v>
      </c>
      <c r="AT69" s="71" t="s">
        <v>342</v>
      </c>
      <c r="AU69" s="810"/>
    </row>
    <row r="70" spans="1:47" s="1" customFormat="1" ht="72.75" customHeight="1" thickBot="1">
      <c r="A70" s="761"/>
      <c r="B70" s="752"/>
      <c r="C70" s="752"/>
      <c r="D70" s="752"/>
      <c r="E70" s="193"/>
      <c r="F70" s="193"/>
      <c r="G70" s="193"/>
      <c r="H70" s="193"/>
      <c r="I70" s="192"/>
      <c r="J70" s="752"/>
      <c r="K70" s="752"/>
      <c r="L70" s="752"/>
      <c r="M70" s="752"/>
      <c r="N70" s="201"/>
      <c r="O70" s="735"/>
      <c r="P70" s="424" t="s">
        <v>803</v>
      </c>
      <c r="Q70" s="424" t="s">
        <v>17</v>
      </c>
      <c r="R70" s="424">
        <v>1</v>
      </c>
      <c r="S70" s="424">
        <v>0</v>
      </c>
      <c r="T70" s="424">
        <v>0</v>
      </c>
      <c r="U70" s="424">
        <v>1</v>
      </c>
      <c r="V70" s="410">
        <v>0</v>
      </c>
      <c r="W70" s="741"/>
      <c r="X70" s="706"/>
      <c r="Y70" s="726"/>
      <c r="Z70" s="726"/>
      <c r="AA70" s="498">
        <v>1</v>
      </c>
      <c r="AB70" s="388">
        <v>0</v>
      </c>
      <c r="AC70" s="388">
        <v>1</v>
      </c>
      <c r="AD70" s="76">
        <v>0</v>
      </c>
      <c r="AE70" s="291"/>
      <c r="AF70" s="78"/>
      <c r="AG70" s="78"/>
      <c r="AH70" s="221"/>
      <c r="AI70" s="221"/>
      <c r="AJ70" s="221"/>
      <c r="AK70" s="221"/>
      <c r="AL70" s="221"/>
      <c r="AM70" s="221"/>
      <c r="AN70" s="221"/>
      <c r="AO70" s="221"/>
      <c r="AP70" s="221"/>
      <c r="AQ70" s="221"/>
      <c r="AR70" s="221"/>
      <c r="AS70" s="71"/>
      <c r="AT70" s="71"/>
      <c r="AU70" s="810"/>
    </row>
    <row r="71" spans="1:47" s="1" customFormat="1" ht="99.75" customHeight="1" thickBot="1">
      <c r="A71" s="761"/>
      <c r="B71" s="752"/>
      <c r="C71" s="752"/>
      <c r="D71" s="752"/>
      <c r="E71" s="193"/>
      <c r="F71" s="193"/>
      <c r="G71" s="193"/>
      <c r="H71" s="193"/>
      <c r="I71" s="192"/>
      <c r="J71" s="754" t="s">
        <v>861</v>
      </c>
      <c r="K71" s="754" t="s">
        <v>18</v>
      </c>
      <c r="L71" s="754">
        <v>95</v>
      </c>
      <c r="M71" s="754">
        <v>95</v>
      </c>
      <c r="N71" s="734"/>
      <c r="O71" s="754" t="s">
        <v>717</v>
      </c>
      <c r="P71" s="424" t="s">
        <v>804</v>
      </c>
      <c r="Q71" s="424" t="s">
        <v>17</v>
      </c>
      <c r="R71" s="424">
        <v>1</v>
      </c>
      <c r="S71" s="424">
        <v>0</v>
      </c>
      <c r="T71" s="424">
        <v>1</v>
      </c>
      <c r="U71" s="424">
        <v>0</v>
      </c>
      <c r="V71" s="410">
        <v>0</v>
      </c>
      <c r="W71" s="741"/>
      <c r="X71" s="706"/>
      <c r="Y71" s="726"/>
      <c r="Z71" s="726"/>
      <c r="AA71" s="498">
        <v>0</v>
      </c>
      <c r="AB71" s="388">
        <v>1</v>
      </c>
      <c r="AC71" s="388">
        <v>0</v>
      </c>
      <c r="AD71" s="76">
        <v>0</v>
      </c>
      <c r="AE71" s="291"/>
      <c r="AF71" s="78"/>
      <c r="AG71" s="78"/>
      <c r="AH71" s="221"/>
      <c r="AI71" s="221"/>
      <c r="AJ71" s="221"/>
      <c r="AK71" s="221"/>
      <c r="AL71" s="221"/>
      <c r="AM71" s="221"/>
      <c r="AN71" s="221"/>
      <c r="AO71" s="221"/>
      <c r="AP71" s="221"/>
      <c r="AQ71" s="221"/>
      <c r="AR71" s="221"/>
      <c r="AS71" s="71"/>
      <c r="AT71" s="71"/>
      <c r="AU71" s="810"/>
    </row>
    <row r="72" spans="1:47" s="1" customFormat="1" ht="156.75" customHeight="1" thickBot="1">
      <c r="A72" s="761"/>
      <c r="B72" s="752"/>
      <c r="C72" s="752"/>
      <c r="D72" s="752"/>
      <c r="E72" s="75" t="s">
        <v>136</v>
      </c>
      <c r="F72" s="76" t="s">
        <v>53</v>
      </c>
      <c r="G72" s="76">
        <v>20</v>
      </c>
      <c r="H72" s="76">
        <v>80</v>
      </c>
      <c r="I72" s="754" t="s">
        <v>143</v>
      </c>
      <c r="J72" s="752"/>
      <c r="K72" s="752"/>
      <c r="L72" s="752">
        <v>95</v>
      </c>
      <c r="M72" s="752">
        <v>95</v>
      </c>
      <c r="N72" s="735"/>
      <c r="O72" s="752" t="s">
        <v>156</v>
      </c>
      <c r="P72" s="424" t="s">
        <v>805</v>
      </c>
      <c r="Q72" s="424" t="s">
        <v>17</v>
      </c>
      <c r="R72" s="424">
        <v>1</v>
      </c>
      <c r="S72" s="424">
        <v>0</v>
      </c>
      <c r="T72" s="424">
        <v>1</v>
      </c>
      <c r="U72" s="424">
        <v>0</v>
      </c>
      <c r="V72" s="410">
        <v>0</v>
      </c>
      <c r="W72" s="741"/>
      <c r="X72" s="706"/>
      <c r="Y72" s="726"/>
      <c r="Z72" s="726"/>
      <c r="AA72" s="498">
        <v>0</v>
      </c>
      <c r="AB72" s="388">
        <v>1</v>
      </c>
      <c r="AC72" s="388">
        <v>0</v>
      </c>
      <c r="AD72" s="76">
        <v>0</v>
      </c>
      <c r="AE72" s="291"/>
      <c r="AF72" s="78"/>
      <c r="AG72" s="78"/>
      <c r="AH72" s="221"/>
      <c r="AI72" s="221"/>
      <c r="AJ72" s="221"/>
      <c r="AK72" s="221"/>
      <c r="AL72" s="221"/>
      <c r="AM72" s="221"/>
      <c r="AN72" s="221"/>
      <c r="AO72" s="221"/>
      <c r="AP72" s="221"/>
      <c r="AQ72" s="221"/>
      <c r="AR72" s="221"/>
      <c r="AS72" s="71" t="s">
        <v>342</v>
      </c>
      <c r="AT72" s="71" t="s">
        <v>342</v>
      </c>
      <c r="AU72" s="810"/>
    </row>
    <row r="73" spans="1:47" s="1" customFormat="1" ht="120.75" customHeight="1" thickBot="1">
      <c r="A73" s="761"/>
      <c r="B73" s="752"/>
      <c r="C73" s="752"/>
      <c r="D73" s="752"/>
      <c r="E73" s="202"/>
      <c r="F73" s="194"/>
      <c r="G73" s="194"/>
      <c r="H73" s="194"/>
      <c r="I73" s="752"/>
      <c r="J73" s="753"/>
      <c r="K73" s="753"/>
      <c r="L73" s="753"/>
      <c r="M73" s="753"/>
      <c r="N73" s="735"/>
      <c r="O73" s="752"/>
      <c r="P73" s="424" t="s">
        <v>806</v>
      </c>
      <c r="Q73" s="424">
        <v>1</v>
      </c>
      <c r="R73" s="424" t="s">
        <v>513</v>
      </c>
      <c r="S73" s="424">
        <v>0</v>
      </c>
      <c r="T73" s="424">
        <v>0</v>
      </c>
      <c r="U73" s="424">
        <v>1</v>
      </c>
      <c r="V73" s="410">
        <v>0</v>
      </c>
      <c r="W73" s="741"/>
      <c r="X73" s="706"/>
      <c r="Y73" s="726"/>
      <c r="Z73" s="726"/>
      <c r="AA73" s="498">
        <v>0</v>
      </c>
      <c r="AB73" s="388">
        <v>0</v>
      </c>
      <c r="AC73" s="388">
        <v>1</v>
      </c>
      <c r="AD73" s="76">
        <v>0</v>
      </c>
      <c r="AE73" s="291"/>
      <c r="AF73" s="78"/>
      <c r="AG73" s="78"/>
      <c r="AH73" s="221"/>
      <c r="AI73" s="221"/>
      <c r="AJ73" s="221"/>
      <c r="AK73" s="221"/>
      <c r="AL73" s="221"/>
      <c r="AM73" s="221"/>
      <c r="AN73" s="221"/>
      <c r="AO73" s="221"/>
      <c r="AP73" s="221"/>
      <c r="AQ73" s="221"/>
      <c r="AR73" s="221"/>
      <c r="AS73" s="71"/>
      <c r="AT73" s="71"/>
      <c r="AU73" s="810"/>
    </row>
    <row r="74" spans="1:47" s="1" customFormat="1" ht="36" customHeight="1" thickBot="1">
      <c r="A74" s="761"/>
      <c r="B74" s="752"/>
      <c r="C74" s="752"/>
      <c r="D74" s="752"/>
      <c r="E74" s="202"/>
      <c r="F74" s="194"/>
      <c r="G74" s="194"/>
      <c r="H74" s="194"/>
      <c r="I74" s="752"/>
      <c r="J74" s="754" t="s">
        <v>145</v>
      </c>
      <c r="K74" s="754" t="s">
        <v>86</v>
      </c>
      <c r="L74" s="734">
        <v>9.57</v>
      </c>
      <c r="M74" s="734">
        <v>9.57</v>
      </c>
      <c r="N74" s="735"/>
      <c r="O74" s="752"/>
      <c r="P74" s="424" t="s">
        <v>807</v>
      </c>
      <c r="Q74" s="424" t="s">
        <v>17</v>
      </c>
      <c r="R74" s="424">
        <v>1</v>
      </c>
      <c r="S74" s="424">
        <v>1</v>
      </c>
      <c r="T74" s="424">
        <v>1</v>
      </c>
      <c r="U74" s="424">
        <v>1</v>
      </c>
      <c r="V74" s="410">
        <v>1</v>
      </c>
      <c r="W74" s="741"/>
      <c r="X74" s="706"/>
      <c r="Y74" s="726"/>
      <c r="Z74" s="726"/>
      <c r="AA74" s="498">
        <v>1</v>
      </c>
      <c r="AB74" s="498">
        <v>1</v>
      </c>
      <c r="AC74" s="388">
        <v>1</v>
      </c>
      <c r="AD74" s="76">
        <v>1</v>
      </c>
      <c r="AE74" s="291"/>
      <c r="AF74" s="78"/>
      <c r="AG74" s="78"/>
      <c r="AH74" s="221"/>
      <c r="AI74" s="221"/>
      <c r="AJ74" s="221"/>
      <c r="AK74" s="221"/>
      <c r="AL74" s="221"/>
      <c r="AM74" s="221"/>
      <c r="AN74" s="221"/>
      <c r="AO74" s="221"/>
      <c r="AP74" s="221"/>
      <c r="AQ74" s="221"/>
      <c r="AR74" s="221"/>
      <c r="AS74" s="71"/>
      <c r="AT74" s="71"/>
      <c r="AU74" s="810"/>
    </row>
    <row r="75" spans="1:47" s="1" customFormat="1" ht="57.75" thickBot="1">
      <c r="A75" s="761"/>
      <c r="B75" s="752"/>
      <c r="C75" s="752"/>
      <c r="D75" s="752"/>
      <c r="E75" s="754" t="s">
        <v>315</v>
      </c>
      <c r="F75" s="754" t="s">
        <v>17</v>
      </c>
      <c r="G75" s="754">
        <v>2</v>
      </c>
      <c r="H75" s="754">
        <v>8</v>
      </c>
      <c r="I75" s="752"/>
      <c r="J75" s="753"/>
      <c r="K75" s="753"/>
      <c r="L75" s="755"/>
      <c r="M75" s="755"/>
      <c r="N75" s="735"/>
      <c r="O75" s="752"/>
      <c r="P75" s="424" t="s">
        <v>814</v>
      </c>
      <c r="Q75" s="641" t="s">
        <v>358</v>
      </c>
      <c r="R75" s="641">
        <v>100</v>
      </c>
      <c r="S75" s="641">
        <v>100</v>
      </c>
      <c r="T75" s="641">
        <v>100</v>
      </c>
      <c r="U75" s="641">
        <v>100</v>
      </c>
      <c r="V75" s="444">
        <v>100</v>
      </c>
      <c r="W75" s="741"/>
      <c r="X75" s="706"/>
      <c r="Y75" s="726"/>
      <c r="Z75" s="726"/>
      <c r="AA75" s="642">
        <v>100</v>
      </c>
      <c r="AB75" s="642">
        <v>100</v>
      </c>
      <c r="AC75" s="388">
        <v>100</v>
      </c>
      <c r="AD75" s="76">
        <v>100</v>
      </c>
      <c r="AE75" s="291"/>
      <c r="AF75" s="78"/>
      <c r="AG75" s="78"/>
      <c r="AH75" s="221"/>
      <c r="AI75" s="221"/>
      <c r="AJ75" s="221"/>
      <c r="AK75" s="221"/>
      <c r="AL75" s="221"/>
      <c r="AM75" s="221"/>
      <c r="AN75" s="221"/>
      <c r="AO75" s="221"/>
      <c r="AP75" s="221"/>
      <c r="AQ75" s="221"/>
      <c r="AR75" s="221"/>
      <c r="AS75" s="71" t="s">
        <v>342</v>
      </c>
      <c r="AT75" s="71" t="s">
        <v>342</v>
      </c>
      <c r="AU75" s="810"/>
    </row>
    <row r="76" spans="1:47" s="1" customFormat="1" ht="15" thickBot="1">
      <c r="A76" s="761"/>
      <c r="B76" s="752"/>
      <c r="C76" s="752"/>
      <c r="D76" s="752"/>
      <c r="E76" s="752"/>
      <c r="F76" s="752"/>
      <c r="G76" s="752"/>
      <c r="H76" s="752"/>
      <c r="I76" s="752"/>
      <c r="J76" s="754" t="s">
        <v>146</v>
      </c>
      <c r="K76" s="754" t="s">
        <v>86</v>
      </c>
      <c r="L76" s="734">
        <v>10.9</v>
      </c>
      <c r="M76" s="734">
        <v>10</v>
      </c>
      <c r="N76" s="735"/>
      <c r="O76" s="752"/>
      <c r="P76" s="424" t="s">
        <v>807</v>
      </c>
      <c r="Q76" s="424" t="s">
        <v>17</v>
      </c>
      <c r="R76" s="424">
        <v>1</v>
      </c>
      <c r="S76" s="424">
        <v>1</v>
      </c>
      <c r="T76" s="424">
        <v>1</v>
      </c>
      <c r="U76" s="424">
        <v>1</v>
      </c>
      <c r="V76" s="410">
        <v>1</v>
      </c>
      <c r="W76" s="741"/>
      <c r="X76" s="706"/>
      <c r="Y76" s="726"/>
      <c r="Z76" s="726"/>
      <c r="AA76" s="498">
        <v>1</v>
      </c>
      <c r="AB76" s="498">
        <v>1</v>
      </c>
      <c r="AC76" s="388">
        <v>1</v>
      </c>
      <c r="AD76" s="76">
        <v>1</v>
      </c>
      <c r="AE76" s="291"/>
      <c r="AF76" s="78"/>
      <c r="AG76" s="78"/>
      <c r="AH76" s="221"/>
      <c r="AI76" s="221"/>
      <c r="AJ76" s="221"/>
      <c r="AK76" s="221"/>
      <c r="AL76" s="221"/>
      <c r="AM76" s="221"/>
      <c r="AN76" s="221"/>
      <c r="AO76" s="221"/>
      <c r="AP76" s="221"/>
      <c r="AQ76" s="221"/>
      <c r="AR76" s="221"/>
      <c r="AS76" s="71"/>
      <c r="AT76" s="71"/>
      <c r="AU76" s="810"/>
    </row>
    <row r="77" spans="1:47" s="1" customFormat="1" ht="43.5" thickBot="1">
      <c r="A77" s="761"/>
      <c r="B77" s="752"/>
      <c r="C77" s="752"/>
      <c r="D77" s="752"/>
      <c r="E77" s="752"/>
      <c r="F77" s="752"/>
      <c r="G77" s="752"/>
      <c r="H77" s="752"/>
      <c r="I77" s="752"/>
      <c r="J77" s="752"/>
      <c r="K77" s="752"/>
      <c r="L77" s="735"/>
      <c r="M77" s="735"/>
      <c r="N77" s="735"/>
      <c r="O77" s="752"/>
      <c r="P77" s="424" t="s">
        <v>813</v>
      </c>
      <c r="Q77" s="641" t="s">
        <v>358</v>
      </c>
      <c r="R77" s="641">
        <v>100</v>
      </c>
      <c r="S77" s="641">
        <v>100</v>
      </c>
      <c r="T77" s="641">
        <v>100</v>
      </c>
      <c r="U77" s="641">
        <v>100</v>
      </c>
      <c r="V77" s="444">
        <v>100</v>
      </c>
      <c r="W77" s="741"/>
      <c r="X77" s="706"/>
      <c r="Y77" s="726"/>
      <c r="Z77" s="726"/>
      <c r="AA77" s="642">
        <v>100</v>
      </c>
      <c r="AB77" s="642">
        <v>100</v>
      </c>
      <c r="AC77" s="388">
        <v>100</v>
      </c>
      <c r="AD77" s="76">
        <v>100</v>
      </c>
      <c r="AE77" s="291"/>
      <c r="AF77" s="78"/>
      <c r="AG77" s="78"/>
      <c r="AH77" s="221"/>
      <c r="AI77" s="221"/>
      <c r="AJ77" s="221"/>
      <c r="AK77" s="221"/>
      <c r="AL77" s="221"/>
      <c r="AM77" s="221"/>
      <c r="AN77" s="221"/>
      <c r="AO77" s="221"/>
      <c r="AP77" s="221"/>
      <c r="AQ77" s="221"/>
      <c r="AR77" s="221"/>
      <c r="AS77" s="71"/>
      <c r="AT77" s="71"/>
      <c r="AU77" s="810"/>
    </row>
    <row r="78" spans="1:47" s="1" customFormat="1" ht="31.5" customHeight="1" thickBot="1">
      <c r="A78" s="761"/>
      <c r="B78" s="752"/>
      <c r="C78" s="752"/>
      <c r="D78" s="752"/>
      <c r="E78" s="752"/>
      <c r="F78" s="752"/>
      <c r="G78" s="752"/>
      <c r="H78" s="752"/>
      <c r="I78" s="752"/>
      <c r="J78" s="754" t="s">
        <v>147</v>
      </c>
      <c r="K78" s="754" t="s">
        <v>86</v>
      </c>
      <c r="L78" s="734">
        <v>13.2</v>
      </c>
      <c r="M78" s="734">
        <v>12</v>
      </c>
      <c r="N78" s="735"/>
      <c r="O78" s="752"/>
      <c r="P78" s="424" t="s">
        <v>807</v>
      </c>
      <c r="Q78" s="424" t="s">
        <v>17</v>
      </c>
      <c r="R78" s="424">
        <v>1</v>
      </c>
      <c r="S78" s="424">
        <v>1</v>
      </c>
      <c r="T78" s="424">
        <v>1</v>
      </c>
      <c r="U78" s="424">
        <v>1</v>
      </c>
      <c r="V78" s="410">
        <v>1</v>
      </c>
      <c r="W78" s="741"/>
      <c r="X78" s="706"/>
      <c r="Y78" s="726"/>
      <c r="Z78" s="726"/>
      <c r="AA78" s="498">
        <v>1</v>
      </c>
      <c r="AB78" s="498">
        <v>1</v>
      </c>
      <c r="AC78" s="388">
        <v>1</v>
      </c>
      <c r="AD78" s="76">
        <v>1</v>
      </c>
      <c r="AE78" s="291"/>
      <c r="AF78" s="78"/>
      <c r="AG78" s="78"/>
      <c r="AH78" s="221"/>
      <c r="AI78" s="221"/>
      <c r="AJ78" s="221"/>
      <c r="AK78" s="221"/>
      <c r="AL78" s="221"/>
      <c r="AM78" s="221"/>
      <c r="AN78" s="221"/>
      <c r="AO78" s="221"/>
      <c r="AP78" s="221"/>
      <c r="AQ78" s="221"/>
      <c r="AR78" s="221"/>
      <c r="AS78" s="71"/>
      <c r="AT78" s="71"/>
      <c r="AU78" s="810"/>
    </row>
    <row r="79" spans="1:47" s="1" customFormat="1" ht="43.5" thickBot="1">
      <c r="A79" s="761"/>
      <c r="B79" s="752"/>
      <c r="C79" s="752"/>
      <c r="D79" s="752"/>
      <c r="E79" s="752"/>
      <c r="F79" s="752"/>
      <c r="G79" s="752"/>
      <c r="H79" s="752"/>
      <c r="I79" s="752"/>
      <c r="J79" s="752"/>
      <c r="K79" s="752"/>
      <c r="L79" s="735"/>
      <c r="M79" s="735"/>
      <c r="N79" s="735"/>
      <c r="O79" s="752"/>
      <c r="P79" s="424" t="s">
        <v>812</v>
      </c>
      <c r="Q79" s="641" t="s">
        <v>358</v>
      </c>
      <c r="R79" s="641">
        <v>100</v>
      </c>
      <c r="S79" s="641">
        <v>100</v>
      </c>
      <c r="T79" s="641">
        <v>100</v>
      </c>
      <c r="U79" s="641">
        <v>100</v>
      </c>
      <c r="V79" s="444">
        <v>100</v>
      </c>
      <c r="W79" s="741"/>
      <c r="X79" s="706"/>
      <c r="Y79" s="726"/>
      <c r="Z79" s="726"/>
      <c r="AA79" s="642">
        <v>100</v>
      </c>
      <c r="AB79" s="642">
        <v>100</v>
      </c>
      <c r="AC79" s="388">
        <v>100</v>
      </c>
      <c r="AD79" s="76">
        <v>100</v>
      </c>
      <c r="AE79" s="291"/>
      <c r="AF79" s="78"/>
      <c r="AG79" s="78"/>
      <c r="AH79" s="221"/>
      <c r="AI79" s="221"/>
      <c r="AJ79" s="221"/>
      <c r="AK79" s="221"/>
      <c r="AL79" s="221"/>
      <c r="AM79" s="221"/>
      <c r="AN79" s="221"/>
      <c r="AO79" s="221"/>
      <c r="AP79" s="221"/>
      <c r="AQ79" s="221"/>
      <c r="AR79" s="221"/>
      <c r="AS79" s="71"/>
      <c r="AT79" s="71"/>
      <c r="AU79" s="810"/>
    </row>
    <row r="80" spans="1:47" s="1" customFormat="1" ht="35.25" customHeight="1" thickBot="1">
      <c r="A80" s="761"/>
      <c r="B80" s="752"/>
      <c r="C80" s="752"/>
      <c r="D80" s="752"/>
      <c r="E80" s="752"/>
      <c r="F80" s="752"/>
      <c r="G80" s="752"/>
      <c r="H80" s="752"/>
      <c r="I80" s="752"/>
      <c r="J80" s="754" t="s">
        <v>148</v>
      </c>
      <c r="K80" s="754" t="s">
        <v>86</v>
      </c>
      <c r="L80" s="734">
        <v>15</v>
      </c>
      <c r="M80" s="734">
        <v>15</v>
      </c>
      <c r="N80" s="735"/>
      <c r="O80" s="752"/>
      <c r="P80" s="424" t="s">
        <v>807</v>
      </c>
      <c r="Q80" s="424" t="s">
        <v>17</v>
      </c>
      <c r="R80" s="424">
        <v>1</v>
      </c>
      <c r="S80" s="424">
        <v>1</v>
      </c>
      <c r="T80" s="424">
        <v>1</v>
      </c>
      <c r="U80" s="424">
        <v>1</v>
      </c>
      <c r="V80" s="410">
        <v>1</v>
      </c>
      <c r="W80" s="741"/>
      <c r="X80" s="706"/>
      <c r="Y80" s="726"/>
      <c r="Z80" s="726"/>
      <c r="AA80" s="498">
        <v>1</v>
      </c>
      <c r="AB80" s="498">
        <v>1</v>
      </c>
      <c r="AC80" s="388">
        <v>1</v>
      </c>
      <c r="AD80" s="76">
        <v>1</v>
      </c>
      <c r="AE80" s="291"/>
      <c r="AF80" s="78"/>
      <c r="AG80" s="78"/>
      <c r="AH80" s="221"/>
      <c r="AI80" s="221"/>
      <c r="AJ80" s="221"/>
      <c r="AK80" s="221"/>
      <c r="AL80" s="221"/>
      <c r="AM80" s="221"/>
      <c r="AN80" s="221"/>
      <c r="AO80" s="221"/>
      <c r="AP80" s="221"/>
      <c r="AQ80" s="221"/>
      <c r="AR80" s="221"/>
      <c r="AS80" s="71"/>
      <c r="AT80" s="71"/>
      <c r="AU80" s="810"/>
    </row>
    <row r="81" spans="1:47" s="1" customFormat="1" ht="43.5" thickBot="1">
      <c r="A81" s="761"/>
      <c r="B81" s="752"/>
      <c r="C81" s="752"/>
      <c r="D81" s="752"/>
      <c r="E81" s="752"/>
      <c r="F81" s="752"/>
      <c r="G81" s="752"/>
      <c r="H81" s="752"/>
      <c r="I81" s="752"/>
      <c r="J81" s="752"/>
      <c r="K81" s="752"/>
      <c r="L81" s="735"/>
      <c r="M81" s="735"/>
      <c r="N81" s="735"/>
      <c r="O81" s="752"/>
      <c r="P81" s="424" t="s">
        <v>811</v>
      </c>
      <c r="Q81" s="641" t="s">
        <v>358</v>
      </c>
      <c r="R81" s="641">
        <v>100</v>
      </c>
      <c r="S81" s="641">
        <v>100</v>
      </c>
      <c r="T81" s="641">
        <v>100</v>
      </c>
      <c r="U81" s="641">
        <v>100</v>
      </c>
      <c r="V81" s="444">
        <v>100</v>
      </c>
      <c r="W81" s="741"/>
      <c r="X81" s="706"/>
      <c r="Y81" s="726"/>
      <c r="Z81" s="726"/>
      <c r="AA81" s="642">
        <v>100</v>
      </c>
      <c r="AB81" s="642">
        <v>100</v>
      </c>
      <c r="AC81" s="388">
        <v>100</v>
      </c>
      <c r="AD81" s="76">
        <v>100</v>
      </c>
      <c r="AE81" s="291"/>
      <c r="AF81" s="78"/>
      <c r="AG81" s="78"/>
      <c r="AH81" s="221"/>
      <c r="AI81" s="221"/>
      <c r="AJ81" s="221"/>
      <c r="AK81" s="221"/>
      <c r="AL81" s="221"/>
      <c r="AM81" s="221"/>
      <c r="AN81" s="221"/>
      <c r="AO81" s="221"/>
      <c r="AP81" s="221"/>
      <c r="AQ81" s="221"/>
      <c r="AR81" s="221"/>
      <c r="AS81" s="71"/>
      <c r="AT81" s="71"/>
      <c r="AU81" s="810"/>
    </row>
    <row r="82" spans="1:47" s="1" customFormat="1" ht="29.25" thickBot="1">
      <c r="A82" s="761"/>
      <c r="B82" s="752"/>
      <c r="C82" s="752"/>
      <c r="D82" s="752"/>
      <c r="E82" s="752"/>
      <c r="F82" s="752"/>
      <c r="G82" s="752"/>
      <c r="H82" s="752"/>
      <c r="I82" s="752"/>
      <c r="J82" s="754" t="s">
        <v>149</v>
      </c>
      <c r="K82" s="754" t="s">
        <v>150</v>
      </c>
      <c r="L82" s="734">
        <v>21</v>
      </c>
      <c r="M82" s="734">
        <v>21</v>
      </c>
      <c r="N82" s="735"/>
      <c r="O82" s="752"/>
      <c r="P82" s="424" t="s">
        <v>807</v>
      </c>
      <c r="Q82" s="424" t="s">
        <v>17</v>
      </c>
      <c r="R82" s="424">
        <v>1</v>
      </c>
      <c r="S82" s="424">
        <v>1</v>
      </c>
      <c r="T82" s="424">
        <v>1</v>
      </c>
      <c r="U82" s="424">
        <v>1</v>
      </c>
      <c r="V82" s="410">
        <v>1</v>
      </c>
      <c r="W82" s="741"/>
      <c r="X82" s="706"/>
      <c r="Y82" s="726"/>
      <c r="Z82" s="726"/>
      <c r="AA82" s="498">
        <v>1</v>
      </c>
      <c r="AB82" s="498">
        <v>1</v>
      </c>
      <c r="AC82" s="388">
        <v>1</v>
      </c>
      <c r="AD82" s="76">
        <v>1</v>
      </c>
      <c r="AE82" s="291"/>
      <c r="AF82" s="78"/>
      <c r="AG82" s="78"/>
      <c r="AH82" s="221"/>
      <c r="AI82" s="221"/>
      <c r="AJ82" s="221"/>
      <c r="AK82" s="221"/>
      <c r="AL82" s="221"/>
      <c r="AM82" s="221"/>
      <c r="AN82" s="221"/>
      <c r="AO82" s="221"/>
      <c r="AP82" s="221"/>
      <c r="AQ82" s="221"/>
      <c r="AR82" s="221"/>
      <c r="AS82" s="71" t="s">
        <v>342</v>
      </c>
      <c r="AT82" s="71" t="s">
        <v>342</v>
      </c>
      <c r="AU82" s="810"/>
    </row>
    <row r="83" spans="1:47" s="1" customFormat="1" ht="43.5" thickBot="1">
      <c r="A83" s="761"/>
      <c r="B83" s="752"/>
      <c r="C83" s="752"/>
      <c r="D83" s="752"/>
      <c r="E83" s="752"/>
      <c r="F83" s="752"/>
      <c r="G83" s="752"/>
      <c r="H83" s="752"/>
      <c r="I83" s="752"/>
      <c r="J83" s="752"/>
      <c r="K83" s="752"/>
      <c r="L83" s="735"/>
      <c r="M83" s="735"/>
      <c r="N83" s="735"/>
      <c r="O83" s="752"/>
      <c r="P83" s="424" t="s">
        <v>810</v>
      </c>
      <c r="Q83" s="641" t="s">
        <v>358</v>
      </c>
      <c r="R83" s="641">
        <v>100</v>
      </c>
      <c r="S83" s="641">
        <v>100</v>
      </c>
      <c r="T83" s="641">
        <v>100</v>
      </c>
      <c r="U83" s="641">
        <v>100</v>
      </c>
      <c r="V83" s="444">
        <v>100</v>
      </c>
      <c r="W83" s="741"/>
      <c r="X83" s="706"/>
      <c r="Y83" s="726"/>
      <c r="Z83" s="726"/>
      <c r="AA83" s="642">
        <v>100</v>
      </c>
      <c r="AB83" s="642">
        <v>100</v>
      </c>
      <c r="AC83" s="388">
        <v>100</v>
      </c>
      <c r="AD83" s="76">
        <v>100</v>
      </c>
      <c r="AE83" s="291"/>
      <c r="AF83" s="78"/>
      <c r="AG83" s="78"/>
      <c r="AH83" s="221"/>
      <c r="AI83" s="221"/>
      <c r="AJ83" s="221"/>
      <c r="AK83" s="221"/>
      <c r="AL83" s="221"/>
      <c r="AM83" s="221"/>
      <c r="AN83" s="221"/>
      <c r="AO83" s="221"/>
      <c r="AP83" s="221"/>
      <c r="AQ83" s="221"/>
      <c r="AR83" s="221"/>
      <c r="AS83" s="71"/>
      <c r="AT83" s="71"/>
      <c r="AU83" s="810"/>
    </row>
    <row r="84" spans="1:47" s="1" customFormat="1" ht="15" thickBot="1">
      <c r="A84" s="761"/>
      <c r="B84" s="752"/>
      <c r="C84" s="752"/>
      <c r="D84" s="752"/>
      <c r="E84" s="752"/>
      <c r="F84" s="752"/>
      <c r="G84" s="752"/>
      <c r="H84" s="752"/>
      <c r="I84" s="752"/>
      <c r="J84" s="752" t="s">
        <v>699</v>
      </c>
      <c r="K84" s="754" t="s">
        <v>18</v>
      </c>
      <c r="L84" s="734">
        <v>90</v>
      </c>
      <c r="M84" s="734">
        <v>90</v>
      </c>
      <c r="N84" s="735"/>
      <c r="O84" s="752"/>
      <c r="P84" s="424" t="s">
        <v>807</v>
      </c>
      <c r="Q84" s="424" t="s">
        <v>17</v>
      </c>
      <c r="R84" s="424">
        <v>1</v>
      </c>
      <c r="S84" s="424">
        <v>1</v>
      </c>
      <c r="T84" s="424">
        <v>1</v>
      </c>
      <c r="U84" s="424">
        <v>1</v>
      </c>
      <c r="V84" s="410">
        <v>1</v>
      </c>
      <c r="W84" s="741"/>
      <c r="X84" s="706"/>
      <c r="Y84" s="726"/>
      <c r="Z84" s="726"/>
      <c r="AA84" s="498">
        <v>1</v>
      </c>
      <c r="AB84" s="498">
        <v>1</v>
      </c>
      <c r="AC84" s="388">
        <v>1</v>
      </c>
      <c r="AD84" s="76">
        <v>1</v>
      </c>
      <c r="AE84" s="291"/>
      <c r="AF84" s="78"/>
      <c r="AG84" s="78"/>
      <c r="AH84" s="221"/>
      <c r="AI84" s="221"/>
      <c r="AJ84" s="221"/>
      <c r="AK84" s="221"/>
      <c r="AL84" s="221"/>
      <c r="AM84" s="221"/>
      <c r="AN84" s="221"/>
      <c r="AO84" s="221"/>
      <c r="AP84" s="221"/>
      <c r="AQ84" s="221"/>
      <c r="AR84" s="221"/>
      <c r="AS84" s="71"/>
      <c r="AT84" s="71"/>
      <c r="AU84" s="810"/>
    </row>
    <row r="85" spans="1:47" s="1" customFormat="1" ht="57.75" thickBot="1">
      <c r="A85" s="761"/>
      <c r="B85" s="752"/>
      <c r="C85" s="752"/>
      <c r="D85" s="752"/>
      <c r="E85" s="752"/>
      <c r="F85" s="752"/>
      <c r="G85" s="752"/>
      <c r="H85" s="752"/>
      <c r="I85" s="752"/>
      <c r="J85" s="752"/>
      <c r="K85" s="752"/>
      <c r="L85" s="735"/>
      <c r="M85" s="735"/>
      <c r="N85" s="735"/>
      <c r="O85" s="752"/>
      <c r="P85" s="424" t="s">
        <v>809</v>
      </c>
      <c r="Q85" s="641" t="s">
        <v>358</v>
      </c>
      <c r="R85" s="641">
        <v>100</v>
      </c>
      <c r="S85" s="641">
        <v>100</v>
      </c>
      <c r="T85" s="641">
        <v>100</v>
      </c>
      <c r="U85" s="641">
        <v>100</v>
      </c>
      <c r="V85" s="444">
        <v>100</v>
      </c>
      <c r="W85" s="741"/>
      <c r="X85" s="706"/>
      <c r="Y85" s="726"/>
      <c r="Z85" s="726"/>
      <c r="AA85" s="642">
        <v>100</v>
      </c>
      <c r="AB85" s="642">
        <v>100</v>
      </c>
      <c r="AC85" s="388">
        <v>100</v>
      </c>
      <c r="AD85" s="76">
        <v>100</v>
      </c>
      <c r="AE85" s="291"/>
      <c r="AF85" s="78"/>
      <c r="AG85" s="78"/>
      <c r="AH85" s="221"/>
      <c r="AI85" s="221"/>
      <c r="AJ85" s="221"/>
      <c r="AK85" s="221"/>
      <c r="AL85" s="221"/>
      <c r="AM85" s="221"/>
      <c r="AN85" s="221"/>
      <c r="AO85" s="221"/>
      <c r="AP85" s="221"/>
      <c r="AQ85" s="221"/>
      <c r="AR85" s="221"/>
      <c r="AS85" s="71" t="s">
        <v>342</v>
      </c>
      <c r="AT85" s="71" t="s">
        <v>342</v>
      </c>
      <c r="AU85" s="810"/>
    </row>
    <row r="86" spans="1:47" s="1" customFormat="1" ht="45" customHeight="1" thickBot="1">
      <c r="A86" s="761"/>
      <c r="B86" s="752"/>
      <c r="C86" s="752"/>
      <c r="D86" s="752"/>
      <c r="E86" s="752"/>
      <c r="F86" s="752"/>
      <c r="G86" s="752"/>
      <c r="H86" s="752"/>
      <c r="I86" s="752"/>
      <c r="J86" s="754" t="s">
        <v>152</v>
      </c>
      <c r="K86" s="754" t="s">
        <v>18</v>
      </c>
      <c r="L86" s="734">
        <v>85.1</v>
      </c>
      <c r="M86" s="734">
        <v>85</v>
      </c>
      <c r="N86" s="735"/>
      <c r="O86" s="752"/>
      <c r="P86" s="424" t="s">
        <v>807</v>
      </c>
      <c r="Q86" s="424" t="s">
        <v>17</v>
      </c>
      <c r="R86" s="424">
        <v>1</v>
      </c>
      <c r="S86" s="424">
        <v>1</v>
      </c>
      <c r="T86" s="424">
        <v>1</v>
      </c>
      <c r="U86" s="424">
        <v>1</v>
      </c>
      <c r="V86" s="410">
        <v>1</v>
      </c>
      <c r="W86" s="741"/>
      <c r="X86" s="706"/>
      <c r="Y86" s="726"/>
      <c r="Z86" s="726"/>
      <c r="AA86" s="498">
        <v>1</v>
      </c>
      <c r="AB86" s="498">
        <v>1</v>
      </c>
      <c r="AC86" s="388">
        <v>1</v>
      </c>
      <c r="AD86" s="76">
        <v>1</v>
      </c>
      <c r="AE86" s="291"/>
      <c r="AF86" s="78"/>
      <c r="AG86" s="78"/>
      <c r="AH86" s="221"/>
      <c r="AI86" s="221"/>
      <c r="AJ86" s="221"/>
      <c r="AK86" s="221"/>
      <c r="AL86" s="221"/>
      <c r="AM86" s="221"/>
      <c r="AN86" s="221"/>
      <c r="AO86" s="221"/>
      <c r="AP86" s="221"/>
      <c r="AQ86" s="221"/>
      <c r="AR86" s="221"/>
      <c r="AS86" s="71" t="s">
        <v>342</v>
      </c>
      <c r="AT86" s="71" t="s">
        <v>342</v>
      </c>
      <c r="AU86" s="810"/>
    </row>
    <row r="87" spans="1:47" s="1" customFormat="1" ht="70.5" customHeight="1" thickBot="1">
      <c r="A87" s="761"/>
      <c r="B87" s="752"/>
      <c r="C87" s="752"/>
      <c r="D87" s="752"/>
      <c r="E87" s="752"/>
      <c r="F87" s="752"/>
      <c r="G87" s="752"/>
      <c r="H87" s="752"/>
      <c r="I87" s="752"/>
      <c r="J87" s="752"/>
      <c r="K87" s="752"/>
      <c r="L87" s="735"/>
      <c r="M87" s="735"/>
      <c r="N87" s="735"/>
      <c r="O87" s="752"/>
      <c r="P87" s="424" t="s">
        <v>815</v>
      </c>
      <c r="Q87" s="641" t="s">
        <v>358</v>
      </c>
      <c r="R87" s="641">
        <v>100</v>
      </c>
      <c r="S87" s="641">
        <v>100</v>
      </c>
      <c r="T87" s="641">
        <v>100</v>
      </c>
      <c r="U87" s="641">
        <v>100</v>
      </c>
      <c r="V87" s="444">
        <v>100</v>
      </c>
      <c r="W87" s="741"/>
      <c r="X87" s="706"/>
      <c r="Y87" s="726"/>
      <c r="Z87" s="726"/>
      <c r="AA87" s="642">
        <v>100</v>
      </c>
      <c r="AB87" s="642">
        <v>100</v>
      </c>
      <c r="AC87" s="388">
        <v>100</v>
      </c>
      <c r="AD87" s="76">
        <v>100</v>
      </c>
      <c r="AE87" s="291"/>
      <c r="AF87" s="78"/>
      <c r="AG87" s="78"/>
      <c r="AH87" s="221"/>
      <c r="AI87" s="221"/>
      <c r="AJ87" s="221"/>
      <c r="AK87" s="221"/>
      <c r="AL87" s="221"/>
      <c r="AM87" s="221"/>
      <c r="AN87" s="221"/>
      <c r="AO87" s="221"/>
      <c r="AP87" s="221"/>
      <c r="AQ87" s="221"/>
      <c r="AR87" s="221"/>
      <c r="AS87" s="71"/>
      <c r="AT87" s="71"/>
      <c r="AU87" s="810"/>
    </row>
    <row r="88" spans="1:47" s="1" customFormat="1" ht="46.5" customHeight="1" thickBot="1">
      <c r="A88" s="761"/>
      <c r="B88" s="752"/>
      <c r="C88" s="752"/>
      <c r="D88" s="752"/>
      <c r="E88" s="752"/>
      <c r="F88" s="752"/>
      <c r="G88" s="752"/>
      <c r="H88" s="752"/>
      <c r="I88" s="752"/>
      <c r="J88" s="754" t="s">
        <v>153</v>
      </c>
      <c r="K88" s="754" t="s">
        <v>18</v>
      </c>
      <c r="L88" s="734">
        <v>95</v>
      </c>
      <c r="M88" s="734">
        <v>90</v>
      </c>
      <c r="N88" s="735"/>
      <c r="O88" s="752"/>
      <c r="P88" s="424" t="s">
        <v>807</v>
      </c>
      <c r="Q88" s="424" t="s">
        <v>17</v>
      </c>
      <c r="R88" s="424">
        <v>1</v>
      </c>
      <c r="S88" s="424">
        <v>1</v>
      </c>
      <c r="T88" s="424">
        <v>1</v>
      </c>
      <c r="U88" s="424">
        <v>1</v>
      </c>
      <c r="V88" s="410">
        <v>1</v>
      </c>
      <c r="W88" s="741"/>
      <c r="X88" s="706"/>
      <c r="Y88" s="726"/>
      <c r="Z88" s="726"/>
      <c r="AA88" s="498">
        <v>1</v>
      </c>
      <c r="AB88" s="498">
        <v>1</v>
      </c>
      <c r="AC88" s="388">
        <v>1</v>
      </c>
      <c r="AD88" s="76">
        <v>1</v>
      </c>
      <c r="AE88" s="291"/>
      <c r="AF88" s="78"/>
      <c r="AG88" s="78"/>
      <c r="AH88" s="221"/>
      <c r="AI88" s="221"/>
      <c r="AJ88" s="221"/>
      <c r="AK88" s="221"/>
      <c r="AL88" s="221"/>
      <c r="AM88" s="221"/>
      <c r="AN88" s="221"/>
      <c r="AO88" s="221"/>
      <c r="AP88" s="221"/>
      <c r="AQ88" s="221"/>
      <c r="AR88" s="221"/>
      <c r="AS88" s="71" t="s">
        <v>342</v>
      </c>
      <c r="AT88" s="71" t="s">
        <v>342</v>
      </c>
      <c r="AU88" s="810"/>
    </row>
    <row r="89" spans="1:47" s="1" customFormat="1" ht="46.5" customHeight="1" thickBot="1">
      <c r="A89" s="761"/>
      <c r="B89" s="752"/>
      <c r="C89" s="752"/>
      <c r="D89" s="752"/>
      <c r="E89" s="752"/>
      <c r="F89" s="752"/>
      <c r="G89" s="752"/>
      <c r="H89" s="752"/>
      <c r="I89" s="752"/>
      <c r="J89" s="752"/>
      <c r="K89" s="752"/>
      <c r="L89" s="735"/>
      <c r="M89" s="735"/>
      <c r="N89" s="735"/>
      <c r="O89" s="752"/>
      <c r="P89" s="424" t="s">
        <v>808</v>
      </c>
      <c r="Q89" s="641" t="s">
        <v>358</v>
      </c>
      <c r="R89" s="641">
        <v>100</v>
      </c>
      <c r="S89" s="641">
        <v>100</v>
      </c>
      <c r="T89" s="641">
        <v>100</v>
      </c>
      <c r="U89" s="641">
        <v>100</v>
      </c>
      <c r="V89" s="444">
        <v>100</v>
      </c>
      <c r="W89" s="741"/>
      <c r="X89" s="706"/>
      <c r="Y89" s="726"/>
      <c r="Z89" s="726"/>
      <c r="AA89" s="642">
        <v>100</v>
      </c>
      <c r="AB89" s="642">
        <v>100</v>
      </c>
      <c r="AC89" s="388">
        <v>100</v>
      </c>
      <c r="AD89" s="76">
        <v>100</v>
      </c>
      <c r="AE89" s="291"/>
      <c r="AF89" s="78"/>
      <c r="AG89" s="78"/>
      <c r="AH89" s="221"/>
      <c r="AI89" s="221"/>
      <c r="AJ89" s="221"/>
      <c r="AK89" s="221"/>
      <c r="AL89" s="221"/>
      <c r="AM89" s="221"/>
      <c r="AN89" s="221"/>
      <c r="AO89" s="221"/>
      <c r="AP89" s="221"/>
      <c r="AQ89" s="221"/>
      <c r="AR89" s="221"/>
      <c r="AS89" s="71"/>
      <c r="AT89" s="71"/>
      <c r="AU89" s="810"/>
    </row>
    <row r="90" spans="1:47" s="1" customFormat="1" ht="50.25" customHeight="1" thickBot="1">
      <c r="A90" s="761"/>
      <c r="B90" s="752"/>
      <c r="C90" s="752"/>
      <c r="D90" s="752"/>
      <c r="E90" s="754" t="s">
        <v>316</v>
      </c>
      <c r="F90" s="754" t="s">
        <v>53</v>
      </c>
      <c r="G90" s="754">
        <v>20</v>
      </c>
      <c r="H90" s="754">
        <v>80</v>
      </c>
      <c r="I90" s="752"/>
      <c r="J90" s="754" t="s">
        <v>154</v>
      </c>
      <c r="K90" s="754" t="s">
        <v>18</v>
      </c>
      <c r="L90" s="734">
        <v>100</v>
      </c>
      <c r="M90" s="734">
        <v>100</v>
      </c>
      <c r="N90" s="735"/>
      <c r="O90" s="752"/>
      <c r="P90" s="424" t="s">
        <v>807</v>
      </c>
      <c r="Q90" s="424" t="s">
        <v>17</v>
      </c>
      <c r="R90" s="424">
        <v>1</v>
      </c>
      <c r="S90" s="424">
        <v>1</v>
      </c>
      <c r="T90" s="424">
        <v>1</v>
      </c>
      <c r="U90" s="424">
        <v>1</v>
      </c>
      <c r="V90" s="410">
        <v>1</v>
      </c>
      <c r="W90" s="741"/>
      <c r="X90" s="706"/>
      <c r="Y90" s="726"/>
      <c r="Z90" s="726"/>
      <c r="AA90" s="498">
        <v>1</v>
      </c>
      <c r="AB90" s="498">
        <v>1</v>
      </c>
      <c r="AC90" s="388">
        <v>1</v>
      </c>
      <c r="AD90" s="76">
        <v>1</v>
      </c>
      <c r="AE90" s="291"/>
      <c r="AF90" s="78"/>
      <c r="AG90" s="78"/>
      <c r="AH90" s="221"/>
      <c r="AI90" s="221"/>
      <c r="AJ90" s="221"/>
      <c r="AK90" s="221"/>
      <c r="AL90" s="221"/>
      <c r="AM90" s="221"/>
      <c r="AN90" s="221"/>
      <c r="AO90" s="221"/>
      <c r="AP90" s="221"/>
      <c r="AQ90" s="221"/>
      <c r="AR90" s="221"/>
      <c r="AS90" s="71" t="s">
        <v>342</v>
      </c>
      <c r="AT90" s="71" t="s">
        <v>342</v>
      </c>
      <c r="AU90" s="810"/>
    </row>
    <row r="91" spans="1:47" s="1" customFormat="1" ht="72" customHeight="1" thickBot="1">
      <c r="A91" s="761"/>
      <c r="B91" s="752"/>
      <c r="C91" s="752"/>
      <c r="D91" s="752"/>
      <c r="E91" s="752"/>
      <c r="F91" s="752"/>
      <c r="G91" s="752"/>
      <c r="H91" s="752"/>
      <c r="I91" s="752"/>
      <c r="J91" s="753"/>
      <c r="K91" s="753"/>
      <c r="L91" s="755"/>
      <c r="M91" s="755"/>
      <c r="N91" s="735"/>
      <c r="O91" s="752"/>
      <c r="P91" s="424" t="s">
        <v>816</v>
      </c>
      <c r="Q91" s="641" t="s">
        <v>358</v>
      </c>
      <c r="R91" s="641">
        <v>100</v>
      </c>
      <c r="S91" s="641">
        <v>100</v>
      </c>
      <c r="T91" s="641">
        <v>100</v>
      </c>
      <c r="U91" s="641">
        <v>100</v>
      </c>
      <c r="V91" s="444">
        <v>100</v>
      </c>
      <c r="W91" s="741"/>
      <c r="X91" s="706"/>
      <c r="Y91" s="726"/>
      <c r="Z91" s="726"/>
      <c r="AA91" s="642">
        <v>100</v>
      </c>
      <c r="AB91" s="642">
        <v>100</v>
      </c>
      <c r="AC91" s="388">
        <v>100</v>
      </c>
      <c r="AD91" s="76">
        <v>100</v>
      </c>
      <c r="AE91" s="291"/>
      <c r="AF91" s="78"/>
      <c r="AG91" s="78"/>
      <c r="AH91" s="221"/>
      <c r="AI91" s="221"/>
      <c r="AJ91" s="221"/>
      <c r="AK91" s="221"/>
      <c r="AL91" s="221"/>
      <c r="AM91" s="221"/>
      <c r="AN91" s="221"/>
      <c r="AO91" s="221"/>
      <c r="AP91" s="221"/>
      <c r="AQ91" s="221"/>
      <c r="AR91" s="221"/>
      <c r="AS91" s="71"/>
      <c r="AT91" s="71"/>
      <c r="AU91" s="810"/>
    </row>
    <row r="92" spans="1:47" s="1" customFormat="1" ht="34.5" customHeight="1" thickBot="1">
      <c r="A92" s="761"/>
      <c r="B92" s="752"/>
      <c r="C92" s="752"/>
      <c r="D92" s="752"/>
      <c r="E92" s="752"/>
      <c r="F92" s="752"/>
      <c r="G92" s="752"/>
      <c r="H92" s="752"/>
      <c r="I92" s="752"/>
      <c r="J92" s="754" t="s">
        <v>155</v>
      </c>
      <c r="K92" s="754" t="s">
        <v>18</v>
      </c>
      <c r="L92" s="734">
        <v>1.4</v>
      </c>
      <c r="M92" s="734">
        <v>1.4</v>
      </c>
      <c r="N92" s="735"/>
      <c r="O92" s="752"/>
      <c r="P92" s="424" t="s">
        <v>807</v>
      </c>
      <c r="Q92" s="424" t="s">
        <v>17</v>
      </c>
      <c r="R92" s="424">
        <v>1</v>
      </c>
      <c r="S92" s="424">
        <v>1</v>
      </c>
      <c r="T92" s="424">
        <v>1</v>
      </c>
      <c r="U92" s="424">
        <v>1</v>
      </c>
      <c r="V92" s="410">
        <v>1</v>
      </c>
      <c r="W92" s="741"/>
      <c r="X92" s="706"/>
      <c r="Y92" s="726"/>
      <c r="Z92" s="726"/>
      <c r="AA92" s="498">
        <v>1</v>
      </c>
      <c r="AB92" s="498">
        <v>1</v>
      </c>
      <c r="AC92" s="388">
        <v>1</v>
      </c>
      <c r="AD92" s="76">
        <v>1</v>
      </c>
      <c r="AE92" s="291"/>
      <c r="AF92" s="78"/>
      <c r="AG92" s="78"/>
      <c r="AH92" s="221"/>
      <c r="AI92" s="221"/>
      <c r="AJ92" s="221"/>
      <c r="AK92" s="221"/>
      <c r="AL92" s="221"/>
      <c r="AM92" s="221"/>
      <c r="AN92" s="221"/>
      <c r="AO92" s="221"/>
      <c r="AP92" s="221"/>
      <c r="AQ92" s="221"/>
      <c r="AR92" s="221"/>
      <c r="AS92" s="71"/>
      <c r="AT92" s="71"/>
      <c r="AU92" s="810"/>
    </row>
    <row r="93" spans="1:47" s="1" customFormat="1" ht="61.5" customHeight="1" thickBot="1">
      <c r="A93" s="761"/>
      <c r="B93" s="752"/>
      <c r="C93" s="752"/>
      <c r="D93" s="752"/>
      <c r="E93" s="753"/>
      <c r="F93" s="753"/>
      <c r="G93" s="753"/>
      <c r="H93" s="753"/>
      <c r="I93" s="753"/>
      <c r="J93" s="753"/>
      <c r="K93" s="753"/>
      <c r="L93" s="755"/>
      <c r="M93" s="755"/>
      <c r="N93" s="755"/>
      <c r="O93" s="753"/>
      <c r="P93" s="424" t="s">
        <v>817</v>
      </c>
      <c r="Q93" s="641" t="s">
        <v>358</v>
      </c>
      <c r="R93" s="641">
        <v>100</v>
      </c>
      <c r="S93" s="641">
        <v>100</v>
      </c>
      <c r="T93" s="641">
        <v>100</v>
      </c>
      <c r="U93" s="641">
        <v>100</v>
      </c>
      <c r="V93" s="444">
        <v>100</v>
      </c>
      <c r="W93" s="890"/>
      <c r="X93" s="707"/>
      <c r="Y93" s="727"/>
      <c r="Z93" s="727"/>
      <c r="AA93" s="642">
        <v>100</v>
      </c>
      <c r="AB93" s="642">
        <v>100</v>
      </c>
      <c r="AC93" s="388">
        <v>100</v>
      </c>
      <c r="AD93" s="76">
        <v>100</v>
      </c>
      <c r="AE93" s="288"/>
      <c r="AF93" s="78"/>
      <c r="AG93" s="78"/>
      <c r="AH93" s="221"/>
      <c r="AI93" s="221"/>
      <c r="AJ93" s="221"/>
      <c r="AK93" s="221"/>
      <c r="AL93" s="221"/>
      <c r="AM93" s="221"/>
      <c r="AN93" s="221"/>
      <c r="AO93" s="221"/>
      <c r="AP93" s="221"/>
      <c r="AQ93" s="221"/>
      <c r="AR93" s="221"/>
      <c r="AS93" s="71" t="s">
        <v>342</v>
      </c>
      <c r="AT93" s="71" t="s">
        <v>342</v>
      </c>
      <c r="AU93" s="810"/>
    </row>
    <row r="94" spans="1:47" s="1" customFormat="1" ht="52.5" customHeight="1" thickBot="1">
      <c r="A94" s="761"/>
      <c r="B94" s="752"/>
      <c r="C94" s="752"/>
      <c r="D94" s="752"/>
      <c r="E94" s="754" t="s">
        <v>317</v>
      </c>
      <c r="F94" s="754" t="s">
        <v>53</v>
      </c>
      <c r="G94" s="754" t="s">
        <v>51</v>
      </c>
      <c r="H94" s="754">
        <v>90</v>
      </c>
      <c r="I94" s="754" t="s">
        <v>157</v>
      </c>
      <c r="J94" s="754" t="s">
        <v>158</v>
      </c>
      <c r="K94" s="754" t="s">
        <v>17</v>
      </c>
      <c r="L94" s="734" t="s">
        <v>51</v>
      </c>
      <c r="M94" s="734">
        <v>3489</v>
      </c>
      <c r="N94" s="734"/>
      <c r="O94" s="754" t="s">
        <v>159</v>
      </c>
      <c r="P94" s="424" t="s">
        <v>544</v>
      </c>
      <c r="Q94" s="424" t="s">
        <v>624</v>
      </c>
      <c r="R94" s="424">
        <v>2902</v>
      </c>
      <c r="S94" s="424">
        <v>1242</v>
      </c>
      <c r="T94" s="424">
        <v>1242</v>
      </c>
      <c r="U94" s="424">
        <v>418</v>
      </c>
      <c r="V94" s="409">
        <v>0</v>
      </c>
      <c r="W94" s="816" t="s">
        <v>766</v>
      </c>
      <c r="X94" s="816"/>
      <c r="Y94" s="732">
        <v>335796722</v>
      </c>
      <c r="Z94" s="732">
        <f>+Y94</f>
        <v>335796722</v>
      </c>
      <c r="AA94" s="498">
        <v>1242</v>
      </c>
      <c r="AB94" s="498">
        <f>T94</f>
        <v>1242</v>
      </c>
      <c r="AC94" s="322">
        <f>308+99</f>
        <v>407</v>
      </c>
      <c r="AD94" s="76">
        <v>0</v>
      </c>
      <c r="AE94" s="288"/>
      <c r="AF94" s="172"/>
      <c r="AG94" s="172"/>
      <c r="AH94" s="213"/>
      <c r="AI94" s="213"/>
      <c r="AJ94" s="213"/>
      <c r="AK94" s="213"/>
      <c r="AL94" s="213"/>
      <c r="AM94" s="213"/>
      <c r="AN94" s="213"/>
      <c r="AO94" s="213"/>
      <c r="AP94" s="213"/>
      <c r="AQ94" s="213"/>
      <c r="AR94" s="213"/>
      <c r="AS94" s="71" t="s">
        <v>342</v>
      </c>
      <c r="AT94" s="71" t="s">
        <v>342</v>
      </c>
      <c r="AU94" s="810"/>
    </row>
    <row r="95" spans="1:47" s="1" customFormat="1" ht="58.5" customHeight="1" thickBot="1">
      <c r="A95" s="761"/>
      <c r="B95" s="752"/>
      <c r="C95" s="752"/>
      <c r="D95" s="752"/>
      <c r="E95" s="752"/>
      <c r="F95" s="752"/>
      <c r="G95" s="752"/>
      <c r="H95" s="752"/>
      <c r="I95" s="752"/>
      <c r="J95" s="752"/>
      <c r="K95" s="752"/>
      <c r="L95" s="735"/>
      <c r="M95" s="735"/>
      <c r="N95" s="735"/>
      <c r="O95" s="752"/>
      <c r="P95" s="424" t="s">
        <v>545</v>
      </c>
      <c r="Q95" s="424" t="s">
        <v>624</v>
      </c>
      <c r="R95" s="424">
        <v>587</v>
      </c>
      <c r="S95" s="424">
        <v>294</v>
      </c>
      <c r="T95" s="424">
        <v>293</v>
      </c>
      <c r="U95" s="424">
        <v>0</v>
      </c>
      <c r="V95" s="409">
        <v>0</v>
      </c>
      <c r="W95" s="719"/>
      <c r="X95" s="719"/>
      <c r="Y95" s="726"/>
      <c r="Z95" s="726"/>
      <c r="AA95" s="498">
        <v>294</v>
      </c>
      <c r="AB95" s="498">
        <v>281</v>
      </c>
      <c r="AC95" s="322">
        <v>12</v>
      </c>
      <c r="AD95" s="76">
        <v>0</v>
      </c>
      <c r="AE95" s="288"/>
      <c r="AF95" s="172"/>
      <c r="AG95" s="172"/>
      <c r="AH95" s="213"/>
      <c r="AI95" s="213"/>
      <c r="AJ95" s="213"/>
      <c r="AK95" s="213"/>
      <c r="AL95" s="213"/>
      <c r="AM95" s="213"/>
      <c r="AN95" s="213"/>
      <c r="AO95" s="213"/>
      <c r="AP95" s="213"/>
      <c r="AQ95" s="213"/>
      <c r="AR95" s="213"/>
      <c r="AS95" s="71"/>
      <c r="AT95" s="71"/>
      <c r="AU95" s="810"/>
    </row>
    <row r="96" spans="1:47" s="1" customFormat="1" ht="94.5" customHeight="1" thickBot="1">
      <c r="A96" s="761"/>
      <c r="B96" s="752"/>
      <c r="C96" s="752"/>
      <c r="D96" s="752"/>
      <c r="E96" s="752"/>
      <c r="F96" s="752"/>
      <c r="G96" s="752"/>
      <c r="H96" s="752"/>
      <c r="I96" s="752"/>
      <c r="J96" s="752"/>
      <c r="K96" s="752"/>
      <c r="L96" s="735"/>
      <c r="M96" s="735"/>
      <c r="N96" s="735"/>
      <c r="O96" s="752"/>
      <c r="P96" s="424" t="s">
        <v>546</v>
      </c>
      <c r="Q96" s="424" t="s">
        <v>622</v>
      </c>
      <c r="R96" s="424">
        <v>3383</v>
      </c>
      <c r="S96" s="424">
        <v>1449</v>
      </c>
      <c r="T96" s="424">
        <v>1449</v>
      </c>
      <c r="U96" s="424">
        <v>485</v>
      </c>
      <c r="V96" s="409">
        <v>0</v>
      </c>
      <c r="W96" s="719"/>
      <c r="X96" s="719"/>
      <c r="Y96" s="726"/>
      <c r="Z96" s="726"/>
      <c r="AA96" s="498">
        <v>1449</v>
      </c>
      <c r="AB96" s="498">
        <f>T96</f>
        <v>1449</v>
      </c>
      <c r="AC96" s="322">
        <f>371+82</f>
        <v>453</v>
      </c>
      <c r="AD96" s="76">
        <v>0</v>
      </c>
      <c r="AE96" s="288"/>
      <c r="AF96" s="172"/>
      <c r="AG96" s="172"/>
      <c r="AH96" s="213"/>
      <c r="AI96" s="213"/>
      <c r="AJ96" s="213"/>
      <c r="AK96" s="213"/>
      <c r="AL96" s="213"/>
      <c r="AM96" s="213"/>
      <c r="AN96" s="213"/>
      <c r="AO96" s="213"/>
      <c r="AP96" s="213"/>
      <c r="AQ96" s="213"/>
      <c r="AR96" s="213"/>
      <c r="AS96" s="71"/>
      <c r="AT96" s="71"/>
      <c r="AU96" s="810"/>
    </row>
    <row r="97" spans="1:47" s="1" customFormat="1" ht="66.75" customHeight="1" thickBot="1">
      <c r="A97" s="761"/>
      <c r="B97" s="752"/>
      <c r="C97" s="752"/>
      <c r="D97" s="752"/>
      <c r="E97" s="752"/>
      <c r="F97" s="752"/>
      <c r="G97" s="752"/>
      <c r="H97" s="752"/>
      <c r="I97" s="752"/>
      <c r="J97" s="752"/>
      <c r="K97" s="752"/>
      <c r="L97" s="735"/>
      <c r="M97" s="735"/>
      <c r="N97" s="735"/>
      <c r="O97" s="752"/>
      <c r="P97" s="424" t="s">
        <v>547</v>
      </c>
      <c r="Q97" s="424" t="s">
        <v>623</v>
      </c>
      <c r="R97" s="424">
        <v>685</v>
      </c>
      <c r="S97" s="424">
        <v>343</v>
      </c>
      <c r="T97" s="424">
        <v>342</v>
      </c>
      <c r="U97" s="424">
        <v>0</v>
      </c>
      <c r="V97" s="409">
        <v>0</v>
      </c>
      <c r="W97" s="720"/>
      <c r="X97" s="720"/>
      <c r="Y97" s="727"/>
      <c r="Z97" s="727"/>
      <c r="AA97" s="498">
        <v>343</v>
      </c>
      <c r="AB97" s="498">
        <v>310</v>
      </c>
      <c r="AC97" s="322">
        <v>32</v>
      </c>
      <c r="AD97" s="76">
        <v>0</v>
      </c>
      <c r="AE97" s="288"/>
      <c r="AF97" s="172"/>
      <c r="AG97" s="172"/>
      <c r="AH97" s="213"/>
      <c r="AI97" s="213"/>
      <c r="AJ97" s="213"/>
      <c r="AK97" s="213"/>
      <c r="AL97" s="213"/>
      <c r="AM97" s="213"/>
      <c r="AN97" s="213"/>
      <c r="AO97" s="213"/>
      <c r="AP97" s="213"/>
      <c r="AQ97" s="213"/>
      <c r="AR97" s="213"/>
      <c r="AS97" s="71"/>
      <c r="AT97" s="71"/>
      <c r="AU97" s="810"/>
    </row>
    <row r="98" spans="1:47" s="1" customFormat="1" ht="52.5" customHeight="1" thickBot="1">
      <c r="A98" s="761"/>
      <c r="B98" s="752"/>
      <c r="C98" s="752"/>
      <c r="D98" s="752"/>
      <c r="E98" s="752"/>
      <c r="F98" s="752"/>
      <c r="G98" s="752"/>
      <c r="H98" s="752"/>
      <c r="I98" s="752"/>
      <c r="J98" s="752"/>
      <c r="K98" s="752"/>
      <c r="L98" s="735"/>
      <c r="M98" s="735"/>
      <c r="N98" s="735"/>
      <c r="O98" s="752"/>
      <c r="P98" s="424" t="s">
        <v>818</v>
      </c>
      <c r="Q98" s="424" t="s">
        <v>17</v>
      </c>
      <c r="R98" s="424">
        <v>1</v>
      </c>
      <c r="S98" s="424">
        <v>1</v>
      </c>
      <c r="T98" s="424">
        <v>1</v>
      </c>
      <c r="U98" s="424">
        <v>1</v>
      </c>
      <c r="V98" s="410">
        <v>1</v>
      </c>
      <c r="W98" s="430" t="s">
        <v>766</v>
      </c>
      <c r="X98" s="429"/>
      <c r="Y98" s="431">
        <v>2777145000</v>
      </c>
      <c r="Z98" s="431">
        <f>+Y98</f>
        <v>2777145000</v>
      </c>
      <c r="AA98" s="498">
        <v>1</v>
      </c>
      <c r="AB98" s="498">
        <v>1</v>
      </c>
      <c r="AC98" s="194">
        <v>1</v>
      </c>
      <c r="AD98" s="76">
        <v>1</v>
      </c>
      <c r="AE98" s="288"/>
      <c r="AF98" s="172"/>
      <c r="AG98" s="172"/>
      <c r="AH98" s="213"/>
      <c r="AI98" s="213"/>
      <c r="AJ98" s="213"/>
      <c r="AK98" s="213"/>
      <c r="AL98" s="213"/>
      <c r="AM98" s="213"/>
      <c r="AN98" s="213"/>
      <c r="AO98" s="213"/>
      <c r="AP98" s="213"/>
      <c r="AQ98" s="213"/>
      <c r="AR98" s="213"/>
      <c r="AS98" s="71" t="s">
        <v>342</v>
      </c>
      <c r="AT98" s="71" t="s">
        <v>342</v>
      </c>
      <c r="AU98" s="810"/>
    </row>
    <row r="99" spans="1:47" s="1" customFormat="1" ht="52.5" customHeight="1" thickBot="1">
      <c r="A99" s="761"/>
      <c r="B99" s="752"/>
      <c r="C99" s="752"/>
      <c r="D99" s="752"/>
      <c r="E99" s="752"/>
      <c r="F99" s="752"/>
      <c r="G99" s="752"/>
      <c r="H99" s="752"/>
      <c r="I99" s="752"/>
      <c r="J99" s="752"/>
      <c r="K99" s="752"/>
      <c r="L99" s="735"/>
      <c r="M99" s="735"/>
      <c r="N99" s="735"/>
      <c r="O99" s="752"/>
      <c r="P99" s="424" t="s">
        <v>819</v>
      </c>
      <c r="Q99" s="424" t="s">
        <v>17</v>
      </c>
      <c r="R99" s="424">
        <v>1</v>
      </c>
      <c r="S99" s="424">
        <v>1</v>
      </c>
      <c r="T99" s="424">
        <v>1</v>
      </c>
      <c r="U99" s="424">
        <v>1</v>
      </c>
      <c r="V99" s="410">
        <v>1</v>
      </c>
      <c r="W99" s="430"/>
      <c r="X99" s="429"/>
      <c r="Y99" s="431"/>
      <c r="Z99" s="431"/>
      <c r="AA99" s="498">
        <v>1</v>
      </c>
      <c r="AB99" s="498">
        <v>1</v>
      </c>
      <c r="AC99" s="194">
        <v>1</v>
      </c>
      <c r="AD99" s="76">
        <v>1</v>
      </c>
      <c r="AE99" s="288"/>
      <c r="AF99" s="172"/>
      <c r="AG99" s="172"/>
      <c r="AH99" s="213"/>
      <c r="AI99" s="213"/>
      <c r="AJ99" s="213"/>
      <c r="AK99" s="213"/>
      <c r="AL99" s="213"/>
      <c r="AM99" s="213"/>
      <c r="AN99" s="213"/>
      <c r="AO99" s="213"/>
      <c r="AP99" s="213"/>
      <c r="AQ99" s="213"/>
      <c r="AR99" s="213"/>
      <c r="AS99" s="71"/>
      <c r="AT99" s="71"/>
      <c r="AU99" s="810"/>
    </row>
    <row r="100" spans="1:47" s="1" customFormat="1" ht="59.25" customHeight="1" thickBot="1">
      <c r="A100" s="761"/>
      <c r="B100" s="752"/>
      <c r="C100" s="752"/>
      <c r="D100" s="752"/>
      <c r="E100" s="752"/>
      <c r="F100" s="752"/>
      <c r="G100" s="752"/>
      <c r="H100" s="752"/>
      <c r="I100" s="752"/>
      <c r="J100" s="752"/>
      <c r="K100" s="752"/>
      <c r="L100" s="735"/>
      <c r="M100" s="735"/>
      <c r="N100" s="735"/>
      <c r="O100" s="752"/>
      <c r="P100" s="424" t="s">
        <v>820</v>
      </c>
      <c r="Q100" s="424" t="s">
        <v>17</v>
      </c>
      <c r="R100" s="424">
        <v>1</v>
      </c>
      <c r="S100" s="424">
        <v>1</v>
      </c>
      <c r="T100" s="424">
        <v>1</v>
      </c>
      <c r="U100" s="424">
        <v>1</v>
      </c>
      <c r="V100" s="410">
        <v>1</v>
      </c>
      <c r="W100" s="430"/>
      <c r="X100" s="429"/>
      <c r="Y100" s="431"/>
      <c r="Z100" s="431"/>
      <c r="AA100" s="498">
        <v>1</v>
      </c>
      <c r="AB100" s="498">
        <v>1</v>
      </c>
      <c r="AC100" s="194">
        <v>1</v>
      </c>
      <c r="AD100" s="76">
        <v>1</v>
      </c>
      <c r="AE100" s="288"/>
      <c r="AF100" s="172"/>
      <c r="AG100" s="172"/>
      <c r="AH100" s="213"/>
      <c r="AI100" s="213"/>
      <c r="AJ100" s="213"/>
      <c r="AK100" s="213"/>
      <c r="AL100" s="213"/>
      <c r="AM100" s="213"/>
      <c r="AN100" s="213"/>
      <c r="AO100" s="213"/>
      <c r="AP100" s="213"/>
      <c r="AQ100" s="213"/>
      <c r="AR100" s="213"/>
      <c r="AS100" s="71"/>
      <c r="AT100" s="71"/>
      <c r="AU100" s="810"/>
    </row>
    <row r="101" spans="1:47" s="1" customFormat="1" ht="44.25" customHeight="1" thickBot="1">
      <c r="A101" s="761"/>
      <c r="B101" s="752"/>
      <c r="C101" s="752"/>
      <c r="D101" s="752"/>
      <c r="E101" s="752"/>
      <c r="F101" s="752"/>
      <c r="G101" s="752"/>
      <c r="H101" s="752"/>
      <c r="I101" s="752"/>
      <c r="J101" s="752"/>
      <c r="K101" s="752"/>
      <c r="L101" s="735"/>
      <c r="M101" s="735"/>
      <c r="N101" s="735"/>
      <c r="O101" s="752"/>
      <c r="P101" s="424" t="s">
        <v>821</v>
      </c>
      <c r="Q101" s="424" t="s">
        <v>17</v>
      </c>
      <c r="R101" s="424">
        <v>1</v>
      </c>
      <c r="S101" s="424">
        <v>1</v>
      </c>
      <c r="T101" s="424">
        <v>1</v>
      </c>
      <c r="U101" s="424">
        <v>1</v>
      </c>
      <c r="V101" s="410">
        <v>1</v>
      </c>
      <c r="W101" s="323"/>
      <c r="X101" s="323"/>
      <c r="Y101" s="323"/>
      <c r="Z101" s="323"/>
      <c r="AA101" s="76">
        <v>1</v>
      </c>
      <c r="AB101" s="76">
        <v>1</v>
      </c>
      <c r="AC101" s="194">
        <v>1</v>
      </c>
      <c r="AD101" s="76">
        <v>1</v>
      </c>
      <c r="AE101" s="288"/>
      <c r="AF101" s="172"/>
      <c r="AG101" s="172"/>
      <c r="AH101" s="213"/>
      <c r="AI101" s="213"/>
      <c r="AJ101" s="213"/>
      <c r="AK101" s="213"/>
      <c r="AL101" s="213"/>
      <c r="AM101" s="213"/>
      <c r="AN101" s="213"/>
      <c r="AO101" s="213"/>
      <c r="AP101" s="213"/>
      <c r="AQ101" s="213"/>
      <c r="AR101" s="213"/>
      <c r="AS101" s="71" t="s">
        <v>342</v>
      </c>
      <c r="AT101" s="71" t="s">
        <v>342</v>
      </c>
      <c r="AU101" s="810"/>
    </row>
    <row r="102" spans="1:47" s="1" customFormat="1" ht="86.25" customHeight="1" thickBot="1">
      <c r="A102" s="761"/>
      <c r="B102" s="752"/>
      <c r="C102" s="754" t="s">
        <v>224</v>
      </c>
      <c r="D102" s="754" t="s">
        <v>160</v>
      </c>
      <c r="E102" s="80" t="s">
        <v>161</v>
      </c>
      <c r="F102" s="76" t="s">
        <v>53</v>
      </c>
      <c r="G102" s="76" t="s">
        <v>51</v>
      </c>
      <c r="H102" s="76">
        <v>15</v>
      </c>
      <c r="I102" s="81" t="s">
        <v>167</v>
      </c>
      <c r="J102" s="754" t="s">
        <v>170</v>
      </c>
      <c r="K102" s="754" t="s">
        <v>17</v>
      </c>
      <c r="L102" s="734" t="s">
        <v>51</v>
      </c>
      <c r="M102" s="734">
        <v>0</v>
      </c>
      <c r="N102" s="734"/>
      <c r="O102" s="754" t="s">
        <v>177</v>
      </c>
      <c r="P102" s="424" t="s">
        <v>862</v>
      </c>
      <c r="Q102" s="424" t="s">
        <v>452</v>
      </c>
      <c r="R102" s="424">
        <v>1</v>
      </c>
      <c r="S102" s="424">
        <v>0</v>
      </c>
      <c r="T102" s="424">
        <v>0</v>
      </c>
      <c r="U102" s="424">
        <v>1</v>
      </c>
      <c r="V102" s="410">
        <v>0</v>
      </c>
      <c r="W102" s="453"/>
      <c r="X102" s="453"/>
      <c r="Y102" s="453"/>
      <c r="Z102" s="453"/>
      <c r="AA102" s="76">
        <v>0</v>
      </c>
      <c r="AB102" s="76">
        <v>0</v>
      </c>
      <c r="AC102" s="76">
        <v>1</v>
      </c>
      <c r="AD102" s="76">
        <v>0</v>
      </c>
      <c r="AE102" s="288"/>
      <c r="AF102" s="172"/>
      <c r="AG102" s="172"/>
      <c r="AH102" s="213"/>
      <c r="AI102" s="213"/>
      <c r="AJ102" s="213"/>
      <c r="AK102" s="213"/>
      <c r="AL102" s="213"/>
      <c r="AM102" s="213"/>
      <c r="AN102" s="213"/>
      <c r="AO102" s="213"/>
      <c r="AP102" s="213"/>
      <c r="AQ102" s="213"/>
      <c r="AR102" s="213"/>
      <c r="AS102" s="71" t="s">
        <v>342</v>
      </c>
      <c r="AT102" s="71" t="s">
        <v>342</v>
      </c>
      <c r="AU102" s="811"/>
    </row>
    <row r="103" spans="1:47" s="1" customFormat="1" ht="86.25" customHeight="1" thickBot="1">
      <c r="A103" s="761"/>
      <c r="B103" s="752"/>
      <c r="C103" s="752"/>
      <c r="D103" s="752"/>
      <c r="E103" s="192"/>
      <c r="F103" s="192"/>
      <c r="G103" s="194"/>
      <c r="H103" s="194"/>
      <c r="I103" s="212"/>
      <c r="J103" s="752"/>
      <c r="K103" s="752"/>
      <c r="L103" s="735"/>
      <c r="M103" s="735"/>
      <c r="N103" s="735"/>
      <c r="O103" s="752"/>
      <c r="P103" s="424" t="s">
        <v>822</v>
      </c>
      <c r="Q103" s="424" t="s">
        <v>17</v>
      </c>
      <c r="R103" s="424">
        <v>1</v>
      </c>
      <c r="S103" s="424">
        <v>1</v>
      </c>
      <c r="T103" s="424">
        <v>1</v>
      </c>
      <c r="U103" s="424">
        <v>1</v>
      </c>
      <c r="V103" s="410">
        <v>1</v>
      </c>
      <c r="W103" s="261" t="s">
        <v>859</v>
      </c>
      <c r="X103" s="261"/>
      <c r="Y103" s="431">
        <f>9866922452+108650000+632690880</f>
        <v>10608263332</v>
      </c>
      <c r="Z103" s="454">
        <f>+Y103</f>
        <v>10608263332</v>
      </c>
      <c r="AA103" s="76">
        <v>1</v>
      </c>
      <c r="AB103" s="76">
        <v>1</v>
      </c>
      <c r="AC103" s="76">
        <v>1</v>
      </c>
      <c r="AD103" s="76">
        <v>1</v>
      </c>
      <c r="AE103" s="288"/>
      <c r="AF103" s="172"/>
      <c r="AG103" s="172"/>
      <c r="AH103" s="213"/>
      <c r="AI103" s="213"/>
      <c r="AJ103" s="213"/>
      <c r="AK103" s="213"/>
      <c r="AL103" s="213"/>
      <c r="AM103" s="213"/>
      <c r="AN103" s="213"/>
      <c r="AO103" s="213"/>
      <c r="AP103" s="213"/>
      <c r="AQ103" s="213"/>
      <c r="AR103" s="213"/>
      <c r="AS103" s="71"/>
      <c r="AT103" s="71"/>
      <c r="AU103" s="167"/>
    </row>
    <row r="104" spans="1:47" s="1" customFormat="1" ht="57.75" thickBot="1">
      <c r="A104" s="761"/>
      <c r="B104" s="752"/>
      <c r="C104" s="752"/>
      <c r="D104" s="752"/>
      <c r="E104" s="192"/>
      <c r="F104" s="192"/>
      <c r="G104" s="194"/>
      <c r="H104" s="194"/>
      <c r="I104" s="212"/>
      <c r="J104" s="765" t="s">
        <v>171</v>
      </c>
      <c r="K104" s="754" t="s">
        <v>17</v>
      </c>
      <c r="L104" s="734" t="s">
        <v>51</v>
      </c>
      <c r="M104" s="738">
        <v>1</v>
      </c>
      <c r="N104" s="734"/>
      <c r="O104" s="754" t="s">
        <v>176</v>
      </c>
      <c r="P104" s="424" t="s">
        <v>826</v>
      </c>
      <c r="Q104" s="424" t="s">
        <v>17</v>
      </c>
      <c r="R104" s="424">
        <v>1</v>
      </c>
      <c r="S104" s="424">
        <v>1</v>
      </c>
      <c r="T104" s="424">
        <v>0</v>
      </c>
      <c r="U104" s="424">
        <v>0</v>
      </c>
      <c r="V104" s="410">
        <v>0</v>
      </c>
      <c r="W104" s="451"/>
      <c r="X104" s="728"/>
      <c r="Y104" s="732"/>
      <c r="Z104" s="451"/>
      <c r="AA104" s="76">
        <v>1</v>
      </c>
      <c r="AB104" s="76">
        <v>0</v>
      </c>
      <c r="AC104" s="76">
        <v>0</v>
      </c>
      <c r="AD104" s="76">
        <v>0</v>
      </c>
      <c r="AE104" s="288"/>
      <c r="AF104" s="172"/>
      <c r="AG104" s="172"/>
      <c r="AH104" s="213"/>
      <c r="AI104" s="213"/>
      <c r="AJ104" s="213"/>
      <c r="AK104" s="213"/>
      <c r="AL104" s="213"/>
      <c r="AM104" s="213"/>
      <c r="AN104" s="213"/>
      <c r="AO104" s="213"/>
      <c r="AP104" s="213"/>
      <c r="AQ104" s="213"/>
      <c r="AR104" s="213"/>
      <c r="AS104" s="71"/>
      <c r="AT104" s="71"/>
      <c r="AU104" s="167"/>
    </row>
    <row r="105" spans="1:47" s="1" customFormat="1" ht="43.5" thickBot="1">
      <c r="A105" s="761"/>
      <c r="B105" s="752"/>
      <c r="C105" s="752"/>
      <c r="D105" s="752"/>
      <c r="E105" s="765" t="s">
        <v>162</v>
      </c>
      <c r="F105" s="765" t="s">
        <v>18</v>
      </c>
      <c r="G105" s="754" t="s">
        <v>51</v>
      </c>
      <c r="H105" s="754">
        <v>8</v>
      </c>
      <c r="I105" s="67" t="s">
        <v>166</v>
      </c>
      <c r="J105" s="753"/>
      <c r="K105" s="753"/>
      <c r="L105" s="755"/>
      <c r="M105" s="739"/>
      <c r="N105" s="755"/>
      <c r="O105" s="753"/>
      <c r="P105" s="424" t="s">
        <v>823</v>
      </c>
      <c r="Q105" s="424" t="s">
        <v>513</v>
      </c>
      <c r="R105" s="424">
        <v>1</v>
      </c>
      <c r="S105" s="424">
        <v>0</v>
      </c>
      <c r="T105" s="424">
        <v>0</v>
      </c>
      <c r="U105" s="424">
        <v>1</v>
      </c>
      <c r="V105" s="410">
        <v>0</v>
      </c>
      <c r="W105" s="451"/>
      <c r="X105" s="729"/>
      <c r="Y105" s="726"/>
      <c r="Z105" s="451"/>
      <c r="AA105" s="76">
        <v>0</v>
      </c>
      <c r="AB105" s="76">
        <v>0</v>
      </c>
      <c r="AC105" s="76">
        <v>1</v>
      </c>
      <c r="AD105" s="76">
        <v>1</v>
      </c>
      <c r="AE105" s="288"/>
      <c r="AF105" s="172"/>
      <c r="AG105" s="172"/>
      <c r="AH105" s="213"/>
      <c r="AI105" s="213"/>
      <c r="AJ105" s="213"/>
      <c r="AK105" s="213"/>
      <c r="AL105" s="213"/>
      <c r="AM105" s="213"/>
      <c r="AN105" s="213"/>
      <c r="AO105" s="213"/>
      <c r="AP105" s="213"/>
      <c r="AQ105" s="213"/>
      <c r="AR105" s="213"/>
      <c r="AS105" s="71" t="s">
        <v>342</v>
      </c>
      <c r="AT105" s="71" t="s">
        <v>342</v>
      </c>
      <c r="AU105" s="809" t="s">
        <v>331</v>
      </c>
    </row>
    <row r="106" spans="1:47" s="1" customFormat="1" ht="29.25" thickBot="1">
      <c r="A106" s="761"/>
      <c r="B106" s="752"/>
      <c r="C106" s="752"/>
      <c r="D106" s="752"/>
      <c r="E106" s="766"/>
      <c r="F106" s="753"/>
      <c r="G106" s="753"/>
      <c r="H106" s="753"/>
      <c r="I106" s="73" t="s">
        <v>168</v>
      </c>
      <c r="J106" s="805" t="s">
        <v>172</v>
      </c>
      <c r="K106" s="210" t="s">
        <v>17</v>
      </c>
      <c r="L106" s="734" t="s">
        <v>51</v>
      </c>
      <c r="M106" s="738">
        <v>1</v>
      </c>
      <c r="N106" s="734"/>
      <c r="O106" s="734" t="s">
        <v>175</v>
      </c>
      <c r="P106" s="424" t="s">
        <v>911</v>
      </c>
      <c r="Q106" s="424" t="s">
        <v>19</v>
      </c>
      <c r="R106" s="424">
        <v>5</v>
      </c>
      <c r="S106" s="424">
        <v>0</v>
      </c>
      <c r="T106" s="424">
        <v>1</v>
      </c>
      <c r="U106" s="424">
        <v>2</v>
      </c>
      <c r="V106" s="410">
        <v>2</v>
      </c>
      <c r="W106" s="451"/>
      <c r="X106" s="729"/>
      <c r="Y106" s="726"/>
      <c r="Z106" s="451"/>
      <c r="AA106" s="76">
        <v>0</v>
      </c>
      <c r="AB106" s="76">
        <v>0</v>
      </c>
      <c r="AC106" s="76">
        <v>2</v>
      </c>
      <c r="AD106" s="76">
        <v>0</v>
      </c>
      <c r="AE106" s="288"/>
      <c r="AF106" s="172"/>
      <c r="AG106" s="172"/>
      <c r="AH106" s="213"/>
      <c r="AI106" s="213"/>
      <c r="AJ106" s="213"/>
      <c r="AK106" s="213"/>
      <c r="AL106" s="213"/>
      <c r="AM106" s="213"/>
      <c r="AN106" s="213"/>
      <c r="AO106" s="213"/>
      <c r="AP106" s="213"/>
      <c r="AQ106" s="213"/>
      <c r="AR106" s="213"/>
      <c r="AS106" s="71" t="s">
        <v>342</v>
      </c>
      <c r="AT106" s="71" t="s">
        <v>342</v>
      </c>
      <c r="AU106" s="810"/>
    </row>
    <row r="107" spans="1:47" s="1" customFormat="1" ht="29.25" thickBot="1">
      <c r="A107" s="761"/>
      <c r="B107" s="752"/>
      <c r="C107" s="752"/>
      <c r="D107" s="752"/>
      <c r="E107" s="211"/>
      <c r="F107" s="192"/>
      <c r="G107" s="192"/>
      <c r="H107" s="192"/>
      <c r="I107" s="212"/>
      <c r="J107" s="805"/>
      <c r="K107" s="212"/>
      <c r="L107" s="735"/>
      <c r="M107" s="735"/>
      <c r="N107" s="735"/>
      <c r="O107" s="735"/>
      <c r="P107" s="424" t="s">
        <v>912</v>
      </c>
      <c r="Q107" s="424" t="s">
        <v>19</v>
      </c>
      <c r="R107" s="424">
        <v>2</v>
      </c>
      <c r="S107" s="424">
        <v>0</v>
      </c>
      <c r="T107" s="424">
        <v>0</v>
      </c>
      <c r="U107" s="424">
        <v>2</v>
      </c>
      <c r="V107" s="410">
        <v>0</v>
      </c>
      <c r="W107" s="451"/>
      <c r="X107" s="729"/>
      <c r="Y107" s="726"/>
      <c r="Z107" s="451"/>
      <c r="AA107" s="498">
        <v>0</v>
      </c>
      <c r="AB107" s="76">
        <v>0</v>
      </c>
      <c r="AC107" s="76">
        <v>2</v>
      </c>
      <c r="AD107" s="76">
        <v>0</v>
      </c>
      <c r="AE107" s="288"/>
      <c r="AF107" s="172"/>
      <c r="AG107" s="172"/>
      <c r="AH107" s="213"/>
      <c r="AI107" s="213"/>
      <c r="AJ107" s="213"/>
      <c r="AK107" s="213"/>
      <c r="AL107" s="213"/>
      <c r="AM107" s="213"/>
      <c r="AN107" s="213"/>
      <c r="AO107" s="213"/>
      <c r="AP107" s="213"/>
      <c r="AQ107" s="213"/>
      <c r="AR107" s="213"/>
      <c r="AS107" s="71"/>
      <c r="AT107" s="71"/>
      <c r="AU107" s="810"/>
    </row>
    <row r="108" spans="1:47" s="1" customFormat="1" ht="57.75" thickBot="1">
      <c r="A108" s="781"/>
      <c r="B108" s="766"/>
      <c r="C108" s="766"/>
      <c r="D108" s="766"/>
      <c r="E108" s="86" t="s">
        <v>163</v>
      </c>
      <c r="F108" s="80" t="s">
        <v>164</v>
      </c>
      <c r="G108" s="80">
        <v>3</v>
      </c>
      <c r="H108" s="80">
        <v>4</v>
      </c>
      <c r="I108" s="754" t="s">
        <v>169</v>
      </c>
      <c r="J108" s="754" t="s">
        <v>173</v>
      </c>
      <c r="K108" s="754" t="s">
        <v>18</v>
      </c>
      <c r="L108" s="734" t="s">
        <v>51</v>
      </c>
      <c r="M108" s="734">
        <v>70</v>
      </c>
      <c r="N108" s="82"/>
      <c r="O108" s="80" t="s">
        <v>174</v>
      </c>
      <c r="P108" s="424" t="s">
        <v>824</v>
      </c>
      <c r="Q108" s="641" t="s">
        <v>358</v>
      </c>
      <c r="R108" s="641">
        <v>100</v>
      </c>
      <c r="S108" s="641">
        <v>100</v>
      </c>
      <c r="T108" s="641">
        <v>100</v>
      </c>
      <c r="U108" s="641">
        <v>100</v>
      </c>
      <c r="V108" s="444">
        <v>100</v>
      </c>
      <c r="W108" s="451"/>
      <c r="X108" s="729"/>
      <c r="Y108" s="726"/>
      <c r="Z108" s="451"/>
      <c r="AA108" s="642">
        <v>100</v>
      </c>
      <c r="AB108" s="444">
        <v>100</v>
      </c>
      <c r="AC108" s="76">
        <v>100</v>
      </c>
      <c r="AD108" s="76">
        <v>100</v>
      </c>
      <c r="AE108" s="288"/>
      <c r="AF108" s="172"/>
      <c r="AG108" s="172"/>
      <c r="AH108" s="213"/>
      <c r="AI108" s="213"/>
      <c r="AJ108" s="213"/>
      <c r="AK108" s="213"/>
      <c r="AL108" s="213"/>
      <c r="AM108" s="213"/>
      <c r="AN108" s="213"/>
      <c r="AO108" s="213"/>
      <c r="AP108" s="213"/>
      <c r="AQ108" s="213"/>
      <c r="AR108" s="213"/>
      <c r="AS108" s="71" t="s">
        <v>342</v>
      </c>
      <c r="AT108" s="71" t="s">
        <v>342</v>
      </c>
      <c r="AU108" s="811"/>
    </row>
    <row r="109" spans="1:47" s="1" customFormat="1" ht="86.25" thickBot="1">
      <c r="A109" s="448"/>
      <c r="B109" s="192"/>
      <c r="C109" s="192"/>
      <c r="D109" s="192"/>
      <c r="E109" s="450"/>
      <c r="F109" s="192"/>
      <c r="G109" s="192"/>
      <c r="H109" s="192"/>
      <c r="I109" s="752"/>
      <c r="J109" s="752"/>
      <c r="K109" s="752"/>
      <c r="L109" s="735"/>
      <c r="M109" s="735"/>
      <c r="N109" s="230"/>
      <c r="O109" s="194"/>
      <c r="P109" s="424" t="s">
        <v>825</v>
      </c>
      <c r="Q109" s="424" t="s">
        <v>17</v>
      </c>
      <c r="R109" s="424">
        <v>1</v>
      </c>
      <c r="S109" s="424">
        <v>0</v>
      </c>
      <c r="T109" s="424">
        <v>1</v>
      </c>
      <c r="U109" s="424">
        <v>0</v>
      </c>
      <c r="V109" s="407">
        <v>0</v>
      </c>
      <c r="W109" s="451"/>
      <c r="X109" s="729"/>
      <c r="Y109" s="726"/>
      <c r="Z109" s="451"/>
      <c r="AA109" s="498">
        <v>0</v>
      </c>
      <c r="AB109" s="76">
        <v>1</v>
      </c>
      <c r="AC109" s="76">
        <v>0</v>
      </c>
      <c r="AD109" s="76">
        <v>0</v>
      </c>
      <c r="AE109" s="288"/>
      <c r="AF109" s="172"/>
      <c r="AG109" s="172"/>
      <c r="AH109" s="213"/>
      <c r="AI109" s="213"/>
      <c r="AJ109" s="213"/>
      <c r="AK109" s="213"/>
      <c r="AL109" s="213"/>
      <c r="AM109" s="213"/>
      <c r="AN109" s="213"/>
      <c r="AO109" s="213"/>
      <c r="AP109" s="213"/>
      <c r="AQ109" s="213"/>
      <c r="AR109" s="213"/>
      <c r="AS109" s="193"/>
      <c r="AT109" s="193"/>
      <c r="AU109" s="449"/>
    </row>
    <row r="110" spans="1:47" s="1" customFormat="1" ht="72" customHeight="1" thickBot="1">
      <c r="A110" s="801" t="s">
        <v>318</v>
      </c>
      <c r="B110" s="804" t="s">
        <v>179</v>
      </c>
      <c r="C110" s="95" t="s">
        <v>192</v>
      </c>
      <c r="D110" s="95" t="s">
        <v>180</v>
      </c>
      <c r="E110" s="95" t="s">
        <v>178</v>
      </c>
      <c r="F110" s="95" t="s">
        <v>17</v>
      </c>
      <c r="G110" s="95" t="s">
        <v>51</v>
      </c>
      <c r="H110" s="95">
        <v>1</v>
      </c>
      <c r="I110" s="88" t="s">
        <v>181</v>
      </c>
      <c r="J110" s="88" t="s">
        <v>182</v>
      </c>
      <c r="K110" s="95" t="s">
        <v>17</v>
      </c>
      <c r="L110" s="95" t="s">
        <v>51</v>
      </c>
      <c r="M110" s="95">
        <v>1</v>
      </c>
      <c r="N110" s="89"/>
      <c r="O110" s="97" t="s">
        <v>183</v>
      </c>
      <c r="P110" s="424" t="s">
        <v>905</v>
      </c>
      <c r="Q110" s="424" t="s">
        <v>17</v>
      </c>
      <c r="R110" s="424">
        <v>1</v>
      </c>
      <c r="S110" s="424">
        <v>1</v>
      </c>
      <c r="T110" s="424">
        <v>0</v>
      </c>
      <c r="U110" s="424">
        <v>0</v>
      </c>
      <c r="V110" s="407">
        <v>0</v>
      </c>
      <c r="W110" s="452"/>
      <c r="X110" s="730"/>
      <c r="Y110" s="726"/>
      <c r="Z110" s="452"/>
      <c r="AA110" s="498">
        <v>1</v>
      </c>
      <c r="AB110" s="76">
        <v>0</v>
      </c>
      <c r="AC110" s="388">
        <v>0</v>
      </c>
      <c r="AD110" s="76">
        <v>0</v>
      </c>
      <c r="AE110" s="288"/>
      <c r="AF110" s="228"/>
      <c r="AG110" s="228"/>
      <c r="AH110" s="228"/>
      <c r="AI110" s="228"/>
      <c r="AJ110" s="228"/>
      <c r="AK110" s="228"/>
      <c r="AL110" s="228"/>
      <c r="AM110" s="228"/>
      <c r="AN110" s="228"/>
      <c r="AO110" s="228"/>
      <c r="AP110" s="228"/>
      <c r="AQ110" s="228"/>
      <c r="AR110" s="228"/>
      <c r="AS110" s="97" t="s">
        <v>462</v>
      </c>
      <c r="AT110" s="97" t="s">
        <v>462</v>
      </c>
      <c r="AU110" s="165"/>
    </row>
    <row r="111" spans="1:47" s="1" customFormat="1" ht="72" customHeight="1" thickBot="1">
      <c r="A111" s="802"/>
      <c r="B111" s="743"/>
      <c r="C111" s="742" t="s">
        <v>193</v>
      </c>
      <c r="D111" s="742" t="s">
        <v>184</v>
      </c>
      <c r="E111" s="742" t="s">
        <v>185</v>
      </c>
      <c r="F111" s="742" t="s">
        <v>18</v>
      </c>
      <c r="G111" s="742" t="s">
        <v>51</v>
      </c>
      <c r="H111" s="742">
        <v>70</v>
      </c>
      <c r="I111" s="742" t="s">
        <v>186</v>
      </c>
      <c r="J111" s="742" t="s">
        <v>187</v>
      </c>
      <c r="K111" s="742" t="s">
        <v>17</v>
      </c>
      <c r="L111" s="742" t="s">
        <v>51</v>
      </c>
      <c r="M111" s="819">
        <v>1</v>
      </c>
      <c r="N111" s="819"/>
      <c r="O111" s="742" t="s">
        <v>190</v>
      </c>
      <c r="P111" s="424" t="s">
        <v>827</v>
      </c>
      <c r="Q111" s="641" t="s">
        <v>18</v>
      </c>
      <c r="R111" s="641">
        <v>80</v>
      </c>
      <c r="S111" s="641">
        <v>5</v>
      </c>
      <c r="T111" s="641">
        <v>15</v>
      </c>
      <c r="U111" s="641">
        <v>30</v>
      </c>
      <c r="V111" s="504">
        <v>30</v>
      </c>
      <c r="W111" s="816" t="s">
        <v>769</v>
      </c>
      <c r="X111" s="889"/>
      <c r="Y111" s="726">
        <v>262068277</v>
      </c>
      <c r="Z111" s="732">
        <f>Y111</f>
        <v>262068277</v>
      </c>
      <c r="AA111" s="649">
        <v>5</v>
      </c>
      <c r="AB111" s="642">
        <v>15</v>
      </c>
      <c r="AC111" s="498">
        <v>30</v>
      </c>
      <c r="AD111" s="76">
        <v>30</v>
      </c>
      <c r="AE111" s="288"/>
      <c r="AF111" s="228"/>
      <c r="AG111" s="228"/>
      <c r="AH111" s="228"/>
      <c r="AI111" s="228"/>
      <c r="AJ111" s="228"/>
      <c r="AK111" s="228"/>
      <c r="AL111" s="228"/>
      <c r="AM111" s="228"/>
      <c r="AN111" s="228"/>
      <c r="AO111" s="228"/>
      <c r="AP111" s="228"/>
      <c r="AQ111" s="228"/>
      <c r="AR111" s="228"/>
      <c r="AS111" s="97"/>
      <c r="AT111" s="97"/>
      <c r="AU111" s="190"/>
    </row>
    <row r="112" spans="1:47" s="1" customFormat="1" ht="72" customHeight="1" thickBot="1">
      <c r="A112" s="802"/>
      <c r="B112" s="743"/>
      <c r="C112" s="743"/>
      <c r="D112" s="743"/>
      <c r="E112" s="743"/>
      <c r="F112" s="743"/>
      <c r="G112" s="743"/>
      <c r="H112" s="743"/>
      <c r="I112" s="743"/>
      <c r="J112" s="743"/>
      <c r="K112" s="743"/>
      <c r="L112" s="743"/>
      <c r="M112" s="820"/>
      <c r="N112" s="820"/>
      <c r="O112" s="743"/>
      <c r="P112" s="424" t="s">
        <v>727</v>
      </c>
      <c r="Q112" s="424" t="s">
        <v>19</v>
      </c>
      <c r="R112" s="424">
        <v>1</v>
      </c>
      <c r="S112" s="424">
        <v>1</v>
      </c>
      <c r="T112" s="424">
        <v>0</v>
      </c>
      <c r="U112" s="424">
        <v>0</v>
      </c>
      <c r="V112" s="407">
        <v>0</v>
      </c>
      <c r="W112" s="719"/>
      <c r="X112" s="706"/>
      <c r="Y112" s="726"/>
      <c r="Z112" s="726"/>
      <c r="AA112" s="498">
        <v>1</v>
      </c>
      <c r="AB112" s="498">
        <v>0</v>
      </c>
      <c r="AC112" s="498">
        <v>0</v>
      </c>
      <c r="AD112" s="76">
        <v>0</v>
      </c>
      <c r="AE112" s="288"/>
      <c r="AF112" s="228"/>
      <c r="AG112" s="228"/>
      <c r="AH112" s="228"/>
      <c r="AI112" s="228"/>
      <c r="AJ112" s="228"/>
      <c r="AK112" s="228"/>
      <c r="AL112" s="228"/>
      <c r="AM112" s="228"/>
      <c r="AN112" s="228"/>
      <c r="AO112" s="228"/>
      <c r="AP112" s="228"/>
      <c r="AQ112" s="228"/>
      <c r="AR112" s="228"/>
      <c r="AS112" s="97"/>
      <c r="AT112" s="97"/>
      <c r="AU112" s="190"/>
    </row>
    <row r="113" spans="1:50" s="1" customFormat="1" ht="52.5" customHeight="1" thickBot="1">
      <c r="A113" s="802"/>
      <c r="B113" s="743"/>
      <c r="C113" s="743"/>
      <c r="D113" s="743"/>
      <c r="E113" s="743"/>
      <c r="F113" s="743"/>
      <c r="G113" s="743"/>
      <c r="H113" s="743"/>
      <c r="I113" s="743"/>
      <c r="J113" s="745"/>
      <c r="K113" s="745"/>
      <c r="L113" s="745"/>
      <c r="M113" s="821"/>
      <c r="N113" s="821"/>
      <c r="O113" s="745"/>
      <c r="P113" s="424" t="s">
        <v>463</v>
      </c>
      <c r="Q113" s="424" t="s">
        <v>19</v>
      </c>
      <c r="R113" s="424">
        <v>1</v>
      </c>
      <c r="S113" s="424">
        <v>0</v>
      </c>
      <c r="T113" s="424">
        <v>0</v>
      </c>
      <c r="U113" s="424">
        <v>0</v>
      </c>
      <c r="V113" s="407">
        <v>1</v>
      </c>
      <c r="W113" s="719"/>
      <c r="X113" s="706"/>
      <c r="Y113" s="726"/>
      <c r="Z113" s="726"/>
      <c r="AA113" s="498">
        <v>0</v>
      </c>
      <c r="AB113" s="498">
        <v>0</v>
      </c>
      <c r="AC113" s="498">
        <v>0</v>
      </c>
      <c r="AD113" s="76">
        <v>1</v>
      </c>
      <c r="AF113" s="228"/>
      <c r="AG113" s="228"/>
      <c r="AH113" s="228"/>
      <c r="AI113" s="228"/>
      <c r="AJ113" s="228"/>
      <c r="AK113" s="228"/>
      <c r="AL113" s="228"/>
      <c r="AM113" s="228"/>
      <c r="AN113" s="228"/>
      <c r="AO113" s="228"/>
      <c r="AP113" s="228"/>
      <c r="AQ113" s="228"/>
      <c r="AR113" s="228"/>
      <c r="AS113" s="97" t="s">
        <v>24</v>
      </c>
      <c r="AT113" s="97" t="s">
        <v>24</v>
      </c>
      <c r="AU113" s="809" t="s">
        <v>332</v>
      </c>
    </row>
    <row r="114" spans="1:50" s="1" customFormat="1" ht="42" customHeight="1" thickBot="1">
      <c r="A114" s="802"/>
      <c r="B114" s="743"/>
      <c r="C114" s="743"/>
      <c r="D114" s="743"/>
      <c r="E114" s="743"/>
      <c r="F114" s="743"/>
      <c r="G114" s="743"/>
      <c r="H114" s="743"/>
      <c r="I114" s="743"/>
      <c r="J114" s="92" t="s">
        <v>188</v>
      </c>
      <c r="K114" s="92" t="s">
        <v>18</v>
      </c>
      <c r="L114" s="93" t="s">
        <v>51</v>
      </c>
      <c r="M114" s="93">
        <v>40</v>
      </c>
      <c r="N114" s="819"/>
      <c r="O114" s="819" t="s">
        <v>191</v>
      </c>
      <c r="P114" s="424" t="s">
        <v>466</v>
      </c>
      <c r="Q114" s="424" t="s">
        <v>17</v>
      </c>
      <c r="R114" s="424">
        <v>1</v>
      </c>
      <c r="S114" s="424">
        <v>1</v>
      </c>
      <c r="T114" s="424">
        <v>0</v>
      </c>
      <c r="U114" s="424">
        <v>0</v>
      </c>
      <c r="V114" s="407">
        <v>0</v>
      </c>
      <c r="W114" s="719"/>
      <c r="X114" s="706"/>
      <c r="Y114" s="726"/>
      <c r="Z114" s="726"/>
      <c r="AA114" s="498">
        <v>1</v>
      </c>
      <c r="AB114" s="498">
        <v>0</v>
      </c>
      <c r="AC114" s="498">
        <v>0</v>
      </c>
      <c r="AD114" s="76">
        <v>0</v>
      </c>
      <c r="AE114" s="288"/>
      <c r="AF114" s="228"/>
      <c r="AG114" s="228"/>
      <c r="AH114" s="228"/>
      <c r="AI114" s="228"/>
      <c r="AJ114" s="228"/>
      <c r="AK114" s="228"/>
      <c r="AL114" s="228"/>
      <c r="AM114" s="228"/>
      <c r="AN114" s="228"/>
      <c r="AO114" s="228"/>
      <c r="AP114" s="228"/>
      <c r="AQ114" s="228"/>
      <c r="AR114" s="228"/>
      <c r="AS114" s="97" t="s">
        <v>24</v>
      </c>
      <c r="AT114" s="97" t="s">
        <v>24</v>
      </c>
      <c r="AU114" s="810"/>
      <c r="AX114" s="1">
        <v>307118571.5</v>
      </c>
    </row>
    <row r="115" spans="1:50" s="1" customFormat="1" ht="42" customHeight="1" thickBot="1">
      <c r="A115" s="802"/>
      <c r="B115" s="743"/>
      <c r="C115" s="743"/>
      <c r="D115" s="743"/>
      <c r="E115" s="743"/>
      <c r="F115" s="743"/>
      <c r="G115" s="743"/>
      <c r="H115" s="743"/>
      <c r="I115" s="743"/>
      <c r="J115" s="806" t="s">
        <v>189</v>
      </c>
      <c r="K115" s="742" t="s">
        <v>17</v>
      </c>
      <c r="L115" s="819">
        <v>7</v>
      </c>
      <c r="M115" s="819">
        <v>6</v>
      </c>
      <c r="N115" s="820"/>
      <c r="O115" s="820"/>
      <c r="P115" s="424" t="s">
        <v>828</v>
      </c>
      <c r="Q115" s="641" t="s">
        <v>18</v>
      </c>
      <c r="R115" s="641">
        <v>60</v>
      </c>
      <c r="S115" s="641">
        <v>10</v>
      </c>
      <c r="T115" s="641">
        <v>10</v>
      </c>
      <c r="U115" s="641">
        <v>20</v>
      </c>
      <c r="V115" s="504">
        <v>20</v>
      </c>
      <c r="W115" s="719"/>
      <c r="X115" s="706"/>
      <c r="Y115" s="726"/>
      <c r="Z115" s="726"/>
      <c r="AA115" s="642">
        <v>10</v>
      </c>
      <c r="AB115" s="642">
        <v>10</v>
      </c>
      <c r="AC115" s="498">
        <v>22</v>
      </c>
      <c r="AD115" s="76">
        <v>20</v>
      </c>
      <c r="AE115" s="288"/>
      <c r="AF115" s="228"/>
      <c r="AG115" s="228"/>
      <c r="AH115" s="228"/>
      <c r="AI115" s="228"/>
      <c r="AJ115" s="228"/>
      <c r="AK115" s="228"/>
      <c r="AL115" s="228"/>
      <c r="AM115" s="228"/>
      <c r="AN115" s="228"/>
      <c r="AO115" s="228"/>
      <c r="AP115" s="228"/>
      <c r="AQ115" s="228"/>
      <c r="AR115" s="228"/>
      <c r="AS115" s="97"/>
      <c r="AT115" s="97"/>
      <c r="AU115" s="810"/>
    </row>
    <row r="116" spans="1:50" s="1" customFormat="1" ht="42" customHeight="1" thickBot="1">
      <c r="A116" s="802"/>
      <c r="B116" s="743"/>
      <c r="C116" s="743"/>
      <c r="D116" s="743"/>
      <c r="E116" s="743"/>
      <c r="F116" s="743"/>
      <c r="G116" s="743"/>
      <c r="H116" s="743"/>
      <c r="I116" s="743"/>
      <c r="J116" s="807"/>
      <c r="K116" s="743"/>
      <c r="L116" s="820"/>
      <c r="M116" s="820"/>
      <c r="N116" s="820"/>
      <c r="O116" s="820"/>
      <c r="P116" s="424" t="s">
        <v>730</v>
      </c>
      <c r="Q116" s="424" t="s">
        <v>17</v>
      </c>
      <c r="R116" s="424">
        <v>1</v>
      </c>
      <c r="S116" s="424">
        <v>0</v>
      </c>
      <c r="T116" s="424">
        <v>0</v>
      </c>
      <c r="U116" s="424">
        <v>1</v>
      </c>
      <c r="V116" s="407">
        <v>0</v>
      </c>
      <c r="W116" s="719"/>
      <c r="X116" s="706"/>
      <c r="Y116" s="726"/>
      <c r="Z116" s="726"/>
      <c r="AA116" s="498">
        <v>0</v>
      </c>
      <c r="AB116" s="498">
        <v>0</v>
      </c>
      <c r="AC116" s="498">
        <v>1</v>
      </c>
      <c r="AD116" s="76">
        <v>0</v>
      </c>
      <c r="AE116" s="288"/>
      <c r="AF116" s="228"/>
      <c r="AG116" s="228"/>
      <c r="AH116" s="228"/>
      <c r="AI116" s="228"/>
      <c r="AJ116" s="228"/>
      <c r="AK116" s="228"/>
      <c r="AL116" s="228"/>
      <c r="AM116" s="228"/>
      <c r="AN116" s="228"/>
      <c r="AO116" s="228"/>
      <c r="AP116" s="228"/>
      <c r="AQ116" s="228"/>
      <c r="AR116" s="228"/>
      <c r="AS116" s="97"/>
      <c r="AT116" s="97"/>
      <c r="AU116" s="810"/>
    </row>
    <row r="117" spans="1:50" s="1" customFormat="1" ht="43.5" thickBot="1">
      <c r="A117" s="802"/>
      <c r="B117" s="743"/>
      <c r="C117" s="743"/>
      <c r="D117" s="743"/>
      <c r="E117" s="743"/>
      <c r="F117" s="743"/>
      <c r="G117" s="743"/>
      <c r="H117" s="743"/>
      <c r="I117" s="743"/>
      <c r="J117" s="807"/>
      <c r="K117" s="743"/>
      <c r="L117" s="820"/>
      <c r="M117" s="820"/>
      <c r="N117" s="820"/>
      <c r="O117" s="820"/>
      <c r="P117" s="424" t="s">
        <v>829</v>
      </c>
      <c r="Q117" s="424" t="s">
        <v>17</v>
      </c>
      <c r="R117" s="424">
        <v>1</v>
      </c>
      <c r="S117" s="424">
        <v>0</v>
      </c>
      <c r="T117" s="424">
        <v>0</v>
      </c>
      <c r="U117" s="424">
        <v>0</v>
      </c>
      <c r="V117" s="407">
        <v>1</v>
      </c>
      <c r="W117" s="719"/>
      <c r="X117" s="706"/>
      <c r="Y117" s="726"/>
      <c r="Z117" s="726"/>
      <c r="AA117" s="498">
        <v>0</v>
      </c>
      <c r="AB117" s="498">
        <v>0</v>
      </c>
      <c r="AC117" s="498">
        <v>0</v>
      </c>
      <c r="AD117" s="76">
        <v>0</v>
      </c>
      <c r="AE117" s="288"/>
      <c r="AF117" s="228"/>
      <c r="AG117" s="228"/>
      <c r="AH117" s="228"/>
      <c r="AI117" s="228"/>
      <c r="AJ117" s="228"/>
      <c r="AK117" s="228"/>
      <c r="AL117" s="228"/>
      <c r="AM117" s="228"/>
      <c r="AN117" s="228"/>
      <c r="AO117" s="228"/>
      <c r="AP117" s="228"/>
      <c r="AQ117" s="228"/>
      <c r="AR117" s="228"/>
      <c r="AS117" s="97"/>
      <c r="AT117" s="97"/>
      <c r="AU117" s="810"/>
    </row>
    <row r="118" spans="1:50" s="1" customFormat="1" ht="29.25" thickBot="1">
      <c r="A118" s="802"/>
      <c r="B118" s="743"/>
      <c r="C118" s="743"/>
      <c r="D118" s="743"/>
      <c r="E118" s="743"/>
      <c r="F118" s="743"/>
      <c r="G118" s="743"/>
      <c r="H118" s="743"/>
      <c r="I118" s="743"/>
      <c r="J118" s="807"/>
      <c r="K118" s="743"/>
      <c r="L118" s="820"/>
      <c r="M118" s="820"/>
      <c r="N118" s="820"/>
      <c r="O118" s="820"/>
      <c r="P118" s="424" t="s">
        <v>830</v>
      </c>
      <c r="Q118" s="424" t="s">
        <v>17</v>
      </c>
      <c r="R118" s="424">
        <v>1</v>
      </c>
      <c r="S118" s="424">
        <v>0</v>
      </c>
      <c r="T118" s="424">
        <v>0</v>
      </c>
      <c r="U118" s="424">
        <v>0</v>
      </c>
      <c r="V118" s="407">
        <v>1</v>
      </c>
      <c r="W118" s="719"/>
      <c r="X118" s="706"/>
      <c r="Y118" s="726"/>
      <c r="Z118" s="726"/>
      <c r="AA118" s="498">
        <v>0</v>
      </c>
      <c r="AB118" s="498">
        <v>0</v>
      </c>
      <c r="AC118" s="498">
        <v>0</v>
      </c>
      <c r="AD118" s="76">
        <v>0</v>
      </c>
      <c r="AE118" s="288"/>
      <c r="AF118" s="228"/>
      <c r="AG118" s="228"/>
      <c r="AH118" s="228"/>
      <c r="AI118" s="228"/>
      <c r="AJ118" s="228"/>
      <c r="AK118" s="228"/>
      <c r="AL118" s="228"/>
      <c r="AM118" s="228"/>
      <c r="AN118" s="228"/>
      <c r="AO118" s="228"/>
      <c r="AP118" s="228"/>
      <c r="AQ118" s="228"/>
      <c r="AR118" s="228"/>
      <c r="AS118" s="97"/>
      <c r="AT118" s="97"/>
      <c r="AU118" s="810"/>
    </row>
    <row r="119" spans="1:50" s="1" customFormat="1" ht="42" customHeight="1" thickBot="1">
      <c r="A119" s="802"/>
      <c r="B119" s="743"/>
      <c r="C119" s="743"/>
      <c r="D119" s="743"/>
      <c r="E119" s="743"/>
      <c r="F119" s="743"/>
      <c r="G119" s="743"/>
      <c r="H119" s="743"/>
      <c r="I119" s="743"/>
      <c r="J119" s="807"/>
      <c r="K119" s="743"/>
      <c r="L119" s="820"/>
      <c r="M119" s="820"/>
      <c r="N119" s="820"/>
      <c r="O119" s="820"/>
      <c r="P119" s="424" t="s">
        <v>729</v>
      </c>
      <c r="Q119" s="424" t="s">
        <v>17</v>
      </c>
      <c r="R119" s="424">
        <v>1</v>
      </c>
      <c r="S119" s="424">
        <v>0</v>
      </c>
      <c r="T119" s="424">
        <v>1</v>
      </c>
      <c r="U119" s="424">
        <v>0</v>
      </c>
      <c r="V119" s="407">
        <v>0</v>
      </c>
      <c r="W119" s="719"/>
      <c r="X119" s="706"/>
      <c r="Y119" s="726"/>
      <c r="Z119" s="726"/>
      <c r="AA119" s="498">
        <v>0</v>
      </c>
      <c r="AB119" s="498">
        <v>0</v>
      </c>
      <c r="AC119" s="498">
        <v>1</v>
      </c>
      <c r="AD119" s="76">
        <v>0</v>
      </c>
      <c r="AE119" s="288"/>
      <c r="AF119" s="228"/>
      <c r="AG119" s="228"/>
      <c r="AH119" s="228"/>
      <c r="AI119" s="228"/>
      <c r="AJ119" s="228"/>
      <c r="AK119" s="228"/>
      <c r="AL119" s="228"/>
      <c r="AM119" s="228"/>
      <c r="AN119" s="228"/>
      <c r="AO119" s="228"/>
      <c r="AP119" s="228"/>
      <c r="AQ119" s="228"/>
      <c r="AR119" s="228"/>
      <c r="AS119" s="97"/>
      <c r="AT119" s="97"/>
      <c r="AU119" s="810"/>
    </row>
    <row r="120" spans="1:50" s="1" customFormat="1" ht="42" customHeight="1" thickBot="1">
      <c r="A120" s="802"/>
      <c r="B120" s="743"/>
      <c r="C120" s="743"/>
      <c r="D120" s="743"/>
      <c r="E120" s="743"/>
      <c r="F120" s="743"/>
      <c r="G120" s="743"/>
      <c r="H120" s="743"/>
      <c r="I120" s="743"/>
      <c r="J120" s="807"/>
      <c r="K120" s="743"/>
      <c r="L120" s="820"/>
      <c r="M120" s="820"/>
      <c r="N120" s="820"/>
      <c r="O120" s="820"/>
      <c r="P120" s="424" t="s">
        <v>728</v>
      </c>
      <c r="Q120" s="424" t="s">
        <v>17</v>
      </c>
      <c r="R120" s="424">
        <v>4</v>
      </c>
      <c r="S120" s="424">
        <v>1</v>
      </c>
      <c r="T120" s="424">
        <v>1</v>
      </c>
      <c r="U120" s="424">
        <v>1</v>
      </c>
      <c r="V120" s="407">
        <v>1</v>
      </c>
      <c r="W120" s="719"/>
      <c r="X120" s="706"/>
      <c r="Y120" s="726"/>
      <c r="Z120" s="726"/>
      <c r="AA120" s="498">
        <v>1</v>
      </c>
      <c r="AB120" s="498">
        <v>1</v>
      </c>
      <c r="AC120" s="498">
        <v>1</v>
      </c>
      <c r="AD120" s="76">
        <v>1</v>
      </c>
      <c r="AE120" s="288"/>
      <c r="AF120" s="228"/>
      <c r="AG120" s="228"/>
      <c r="AH120" s="228"/>
      <c r="AI120" s="228"/>
      <c r="AJ120" s="228"/>
      <c r="AK120" s="228"/>
      <c r="AL120" s="228"/>
      <c r="AM120" s="228"/>
      <c r="AN120" s="228"/>
      <c r="AO120" s="228"/>
      <c r="AP120" s="228"/>
      <c r="AQ120" s="228"/>
      <c r="AR120" s="228"/>
      <c r="AS120" s="97"/>
      <c r="AT120" s="97"/>
      <c r="AU120" s="810"/>
    </row>
    <row r="121" spans="1:50" s="1" customFormat="1" ht="58.5" customHeight="1" thickBot="1">
      <c r="A121" s="802"/>
      <c r="B121" s="743"/>
      <c r="C121" s="745"/>
      <c r="D121" s="745"/>
      <c r="E121" s="745"/>
      <c r="F121" s="745"/>
      <c r="G121" s="745"/>
      <c r="H121" s="745"/>
      <c r="I121" s="745"/>
      <c r="J121" s="808"/>
      <c r="K121" s="745"/>
      <c r="L121" s="821"/>
      <c r="M121" s="821"/>
      <c r="N121" s="821"/>
      <c r="O121" s="821"/>
      <c r="P121" s="424" t="s">
        <v>831</v>
      </c>
      <c r="Q121" s="641" t="s">
        <v>18</v>
      </c>
      <c r="R121" s="641">
        <v>100</v>
      </c>
      <c r="S121" s="641">
        <v>25</v>
      </c>
      <c r="T121" s="641">
        <v>25</v>
      </c>
      <c r="U121" s="641">
        <v>25</v>
      </c>
      <c r="V121" s="444">
        <v>25</v>
      </c>
      <c r="W121" s="720"/>
      <c r="X121" s="707"/>
      <c r="Y121" s="727"/>
      <c r="Z121" s="727"/>
      <c r="AA121" s="642">
        <v>25</v>
      </c>
      <c r="AB121" s="498">
        <v>6</v>
      </c>
      <c r="AC121" s="498">
        <v>44</v>
      </c>
      <c r="AD121" s="76">
        <v>25</v>
      </c>
      <c r="AE121" s="288"/>
      <c r="AF121" s="228"/>
      <c r="AG121" s="228"/>
      <c r="AH121" s="228"/>
      <c r="AI121" s="228"/>
      <c r="AJ121" s="228"/>
      <c r="AK121" s="228"/>
      <c r="AL121" s="228"/>
      <c r="AM121" s="228"/>
      <c r="AN121" s="228"/>
      <c r="AO121" s="228"/>
      <c r="AP121" s="228"/>
      <c r="AQ121" s="228"/>
      <c r="AR121" s="228"/>
      <c r="AS121" s="97" t="s">
        <v>24</v>
      </c>
      <c r="AT121" s="97" t="s">
        <v>24</v>
      </c>
      <c r="AU121" s="811"/>
    </row>
    <row r="122" spans="1:50" s="1" customFormat="1" ht="80.25" customHeight="1" thickBot="1">
      <c r="A122" s="802"/>
      <c r="B122" s="743"/>
      <c r="C122" s="742" t="s">
        <v>194</v>
      </c>
      <c r="D122" s="742" t="s">
        <v>195</v>
      </c>
      <c r="E122" s="742" t="s">
        <v>196</v>
      </c>
      <c r="F122" s="742" t="s">
        <v>18</v>
      </c>
      <c r="G122" s="742">
        <v>90</v>
      </c>
      <c r="H122" s="742">
        <v>90</v>
      </c>
      <c r="I122" s="742" t="s">
        <v>199</v>
      </c>
      <c r="J122" s="92" t="s">
        <v>198</v>
      </c>
      <c r="K122" s="92" t="s">
        <v>17</v>
      </c>
      <c r="L122" s="93" t="s">
        <v>51</v>
      </c>
      <c r="M122" s="93">
        <v>0</v>
      </c>
      <c r="N122" s="819"/>
      <c r="O122" s="819" t="s">
        <v>204</v>
      </c>
      <c r="P122" s="424" t="s">
        <v>832</v>
      </c>
      <c r="Q122" s="424" t="s">
        <v>399</v>
      </c>
      <c r="R122" s="424">
        <v>1</v>
      </c>
      <c r="S122" s="424">
        <v>0</v>
      </c>
      <c r="T122" s="424">
        <v>1</v>
      </c>
      <c r="U122" s="424">
        <v>0</v>
      </c>
      <c r="V122" s="410">
        <v>0</v>
      </c>
      <c r="W122" s="816" t="s">
        <v>763</v>
      </c>
      <c r="X122" s="889"/>
      <c r="Y122" s="732">
        <f>169200000+95000000+31634544</f>
        <v>295834544</v>
      </c>
      <c r="Z122" s="732">
        <f>+Y122</f>
        <v>295834544</v>
      </c>
      <c r="AA122" s="498">
        <v>0</v>
      </c>
      <c r="AB122" s="498">
        <v>1</v>
      </c>
      <c r="AC122" s="498"/>
      <c r="AD122" s="76">
        <v>0</v>
      </c>
      <c r="AE122" s="288"/>
      <c r="AF122" s="228"/>
      <c r="AG122" s="228"/>
      <c r="AH122" s="228"/>
      <c r="AI122" s="228"/>
      <c r="AJ122" s="228"/>
      <c r="AK122" s="228"/>
      <c r="AL122" s="228"/>
      <c r="AM122" s="228"/>
      <c r="AN122" s="228"/>
      <c r="AO122" s="228"/>
      <c r="AP122" s="228"/>
      <c r="AQ122" s="228"/>
      <c r="AR122" s="228"/>
      <c r="AS122" s="97" t="s">
        <v>24</v>
      </c>
      <c r="AT122" s="97" t="s">
        <v>24</v>
      </c>
      <c r="AU122" s="809" t="s">
        <v>333</v>
      </c>
    </row>
    <row r="123" spans="1:50" s="1" customFormat="1" ht="80.25" customHeight="1" thickBot="1">
      <c r="A123" s="802"/>
      <c r="B123" s="743"/>
      <c r="C123" s="743"/>
      <c r="D123" s="743"/>
      <c r="E123" s="745"/>
      <c r="F123" s="745"/>
      <c r="G123" s="745"/>
      <c r="H123" s="745"/>
      <c r="I123" s="743"/>
      <c r="J123" s="92" t="s">
        <v>200</v>
      </c>
      <c r="K123" s="92" t="s">
        <v>18</v>
      </c>
      <c r="L123" s="93">
        <v>5</v>
      </c>
      <c r="M123" s="93">
        <v>30</v>
      </c>
      <c r="N123" s="821"/>
      <c r="O123" s="821"/>
      <c r="P123" s="424" t="s">
        <v>833</v>
      </c>
      <c r="Q123" s="424" t="s">
        <v>19</v>
      </c>
      <c r="R123" s="424">
        <v>30</v>
      </c>
      <c r="S123" s="424">
        <v>7</v>
      </c>
      <c r="T123" s="424">
        <v>7</v>
      </c>
      <c r="U123" s="424">
        <v>7</v>
      </c>
      <c r="V123" s="410">
        <v>9</v>
      </c>
      <c r="W123" s="719"/>
      <c r="X123" s="706"/>
      <c r="Y123" s="726"/>
      <c r="Z123" s="726"/>
      <c r="AA123" s="498">
        <v>7</v>
      </c>
      <c r="AB123" s="498">
        <v>7</v>
      </c>
      <c r="AC123" s="498"/>
      <c r="AD123" s="76">
        <v>9</v>
      </c>
      <c r="AE123" s="288"/>
      <c r="AF123" s="228"/>
      <c r="AG123" s="228"/>
      <c r="AH123" s="228"/>
      <c r="AI123" s="228"/>
      <c r="AJ123" s="228"/>
      <c r="AK123" s="228"/>
      <c r="AL123" s="228"/>
      <c r="AM123" s="228"/>
      <c r="AN123" s="228"/>
      <c r="AO123" s="228"/>
      <c r="AP123" s="228"/>
      <c r="AQ123" s="228"/>
      <c r="AR123" s="228"/>
      <c r="AS123" s="97" t="s">
        <v>24</v>
      </c>
      <c r="AT123" s="97" t="s">
        <v>24</v>
      </c>
      <c r="AU123" s="810"/>
    </row>
    <row r="124" spans="1:50" s="1" customFormat="1" ht="63" customHeight="1" thickBot="1">
      <c r="A124" s="802"/>
      <c r="B124" s="743"/>
      <c r="C124" s="743"/>
      <c r="D124" s="743"/>
      <c r="E124" s="742" t="s">
        <v>197</v>
      </c>
      <c r="F124" s="742" t="s">
        <v>18</v>
      </c>
      <c r="G124" s="742" t="s">
        <v>51</v>
      </c>
      <c r="H124" s="742">
        <v>3</v>
      </c>
      <c r="I124" s="743"/>
      <c r="J124" s="92" t="s">
        <v>201</v>
      </c>
      <c r="K124" s="92" t="s">
        <v>18</v>
      </c>
      <c r="L124" s="93">
        <v>95</v>
      </c>
      <c r="M124" s="93">
        <v>95</v>
      </c>
      <c r="N124" s="819"/>
      <c r="O124" s="742" t="s">
        <v>205</v>
      </c>
      <c r="P124" s="424" t="s">
        <v>834</v>
      </c>
      <c r="Q124" s="641" t="s">
        <v>18</v>
      </c>
      <c r="R124" s="641">
        <v>90</v>
      </c>
      <c r="S124" s="641">
        <v>90</v>
      </c>
      <c r="T124" s="641">
        <v>90</v>
      </c>
      <c r="U124" s="641">
        <v>90</v>
      </c>
      <c r="V124" s="444">
        <v>90</v>
      </c>
      <c r="W124" s="719"/>
      <c r="X124" s="706"/>
      <c r="Y124" s="726"/>
      <c r="Z124" s="726"/>
      <c r="AA124" s="642">
        <v>94.3</v>
      </c>
      <c r="AB124" s="642">
        <v>93</v>
      </c>
      <c r="AC124" s="498"/>
      <c r="AD124" s="76">
        <v>90</v>
      </c>
      <c r="AE124" s="288"/>
      <c r="AF124" s="228"/>
      <c r="AG124" s="228"/>
      <c r="AH124" s="228"/>
      <c r="AI124" s="228"/>
      <c r="AJ124" s="228"/>
      <c r="AK124" s="228"/>
      <c r="AL124" s="228"/>
      <c r="AM124" s="228"/>
      <c r="AN124" s="228"/>
      <c r="AO124" s="228"/>
      <c r="AP124" s="228"/>
      <c r="AQ124" s="228"/>
      <c r="AR124" s="228"/>
      <c r="AS124" s="97" t="s">
        <v>24</v>
      </c>
      <c r="AT124" s="97" t="s">
        <v>24</v>
      </c>
      <c r="AU124" s="810"/>
    </row>
    <row r="125" spans="1:50" s="1" customFormat="1" ht="115.5" customHeight="1" thickBot="1">
      <c r="A125" s="802"/>
      <c r="B125" s="743"/>
      <c r="C125" s="743"/>
      <c r="D125" s="743"/>
      <c r="E125" s="743"/>
      <c r="F125" s="743"/>
      <c r="G125" s="743"/>
      <c r="H125" s="743"/>
      <c r="I125" s="743"/>
      <c r="J125" s="92" t="s">
        <v>202</v>
      </c>
      <c r="K125" s="92" t="s">
        <v>86</v>
      </c>
      <c r="L125" s="93">
        <v>15</v>
      </c>
      <c r="M125" s="93">
        <v>8</v>
      </c>
      <c r="N125" s="821"/>
      <c r="O125" s="745"/>
      <c r="P125" s="424" t="s">
        <v>835</v>
      </c>
      <c r="Q125" s="641" t="s">
        <v>836</v>
      </c>
      <c r="R125" s="641">
        <v>15</v>
      </c>
      <c r="S125" s="641">
        <v>15</v>
      </c>
      <c r="T125" s="641">
        <v>15</v>
      </c>
      <c r="U125" s="641">
        <v>15</v>
      </c>
      <c r="V125" s="444">
        <v>15</v>
      </c>
      <c r="W125" s="719"/>
      <c r="X125" s="706"/>
      <c r="Y125" s="726"/>
      <c r="Z125" s="726"/>
      <c r="AA125" s="659">
        <v>2</v>
      </c>
      <c r="AB125" s="659">
        <v>2</v>
      </c>
      <c r="AC125" s="498"/>
      <c r="AD125" s="76">
        <v>15</v>
      </c>
      <c r="AE125" s="288"/>
      <c r="AF125" s="228"/>
      <c r="AG125" s="228"/>
      <c r="AH125" s="228"/>
      <c r="AI125" s="228"/>
      <c r="AJ125" s="228"/>
      <c r="AK125" s="228"/>
      <c r="AL125" s="228"/>
      <c r="AM125" s="228"/>
      <c r="AN125" s="228"/>
      <c r="AO125" s="228"/>
      <c r="AP125" s="228"/>
      <c r="AQ125" s="228"/>
      <c r="AR125" s="228"/>
      <c r="AS125" s="97" t="s">
        <v>24</v>
      </c>
      <c r="AT125" s="97" t="s">
        <v>24</v>
      </c>
      <c r="AU125" s="810"/>
    </row>
    <row r="126" spans="1:50" s="1" customFormat="1" ht="66" customHeight="1" thickBot="1">
      <c r="A126" s="802"/>
      <c r="B126" s="743"/>
      <c r="C126" s="745"/>
      <c r="D126" s="745"/>
      <c r="E126" s="745"/>
      <c r="F126" s="745"/>
      <c r="G126" s="745"/>
      <c r="H126" s="745"/>
      <c r="I126" s="745"/>
      <c r="J126" s="92" t="s">
        <v>203</v>
      </c>
      <c r="K126" s="92" t="s">
        <v>18</v>
      </c>
      <c r="L126" s="93">
        <v>95</v>
      </c>
      <c r="M126" s="93">
        <v>95</v>
      </c>
      <c r="N126" s="93"/>
      <c r="O126" s="97" t="s">
        <v>206</v>
      </c>
      <c r="P126" s="424" t="s">
        <v>837</v>
      </c>
      <c r="Q126" s="641" t="s">
        <v>18</v>
      </c>
      <c r="R126" s="641">
        <v>90</v>
      </c>
      <c r="S126" s="641">
        <v>90</v>
      </c>
      <c r="T126" s="641">
        <v>90</v>
      </c>
      <c r="U126" s="641">
        <v>90</v>
      </c>
      <c r="V126" s="444">
        <v>90</v>
      </c>
      <c r="W126" s="720"/>
      <c r="X126" s="707"/>
      <c r="Y126" s="727"/>
      <c r="Z126" s="727"/>
      <c r="AA126" s="642">
        <v>92</v>
      </c>
      <c r="AB126" s="660">
        <v>93</v>
      </c>
      <c r="AC126" s="498"/>
      <c r="AD126" s="76">
        <v>90</v>
      </c>
      <c r="AE126" s="288"/>
      <c r="AF126" s="228"/>
      <c r="AG126" s="228"/>
      <c r="AH126" s="228"/>
      <c r="AI126" s="228"/>
      <c r="AJ126" s="228"/>
      <c r="AK126" s="228"/>
      <c r="AL126" s="228"/>
      <c r="AM126" s="228"/>
      <c r="AN126" s="228"/>
      <c r="AO126" s="228"/>
      <c r="AP126" s="228"/>
      <c r="AQ126" s="228"/>
      <c r="AR126" s="228"/>
      <c r="AS126" s="97" t="s">
        <v>24</v>
      </c>
      <c r="AT126" s="97" t="s">
        <v>24</v>
      </c>
      <c r="AU126" s="811"/>
    </row>
    <row r="127" spans="1:50" s="1" customFormat="1" ht="96.75" customHeight="1" thickBot="1">
      <c r="A127" s="802"/>
      <c r="B127" s="743"/>
      <c r="C127" s="742" t="s">
        <v>207</v>
      </c>
      <c r="D127" s="742" t="s">
        <v>208</v>
      </c>
      <c r="E127" s="742" t="s">
        <v>209</v>
      </c>
      <c r="F127" s="742" t="s">
        <v>18</v>
      </c>
      <c r="G127" s="742" t="s">
        <v>51</v>
      </c>
      <c r="H127" s="742">
        <v>90</v>
      </c>
      <c r="I127" s="742" t="s">
        <v>211</v>
      </c>
      <c r="J127" s="92" t="s">
        <v>212</v>
      </c>
      <c r="K127" s="92" t="s">
        <v>17</v>
      </c>
      <c r="L127" s="93" t="s">
        <v>51</v>
      </c>
      <c r="M127" s="93">
        <v>1</v>
      </c>
      <c r="N127" s="819"/>
      <c r="O127" s="742" t="s">
        <v>218</v>
      </c>
      <c r="P127" s="424" t="s">
        <v>838</v>
      </c>
      <c r="Q127" s="424" t="s">
        <v>19</v>
      </c>
      <c r="R127" s="424">
        <v>2</v>
      </c>
      <c r="S127" s="424">
        <v>0</v>
      </c>
      <c r="T127" s="424">
        <v>1</v>
      </c>
      <c r="U127" s="424">
        <v>0</v>
      </c>
      <c r="V127" s="410">
        <v>1</v>
      </c>
      <c r="W127" s="740" t="s">
        <v>770</v>
      </c>
      <c r="X127" s="889"/>
      <c r="Y127" s="732">
        <f>120000000+200000000+3222000000</f>
        <v>3542000000</v>
      </c>
      <c r="Z127" s="732">
        <f>+Y127</f>
        <v>3542000000</v>
      </c>
      <c r="AA127" s="499">
        <v>0</v>
      </c>
      <c r="AB127" s="498">
        <v>0</v>
      </c>
      <c r="AC127" s="498">
        <v>0</v>
      </c>
      <c r="AD127" s="76">
        <v>1</v>
      </c>
      <c r="AE127" s="288"/>
      <c r="AF127" s="228"/>
      <c r="AG127" s="228"/>
      <c r="AH127" s="228"/>
      <c r="AI127" s="228"/>
      <c r="AJ127" s="228"/>
      <c r="AK127" s="228"/>
      <c r="AL127" s="228"/>
      <c r="AM127" s="228"/>
      <c r="AN127" s="228"/>
      <c r="AO127" s="228"/>
      <c r="AP127" s="228"/>
      <c r="AQ127" s="228"/>
      <c r="AR127" s="228"/>
      <c r="AS127" s="97" t="s">
        <v>24</v>
      </c>
      <c r="AT127" s="97" t="s">
        <v>24</v>
      </c>
      <c r="AU127" s="809" t="s">
        <v>334</v>
      </c>
    </row>
    <row r="128" spans="1:50" s="1" customFormat="1" ht="60" customHeight="1" thickBot="1">
      <c r="A128" s="802"/>
      <c r="B128" s="743"/>
      <c r="C128" s="743"/>
      <c r="D128" s="743"/>
      <c r="E128" s="743"/>
      <c r="F128" s="743"/>
      <c r="G128" s="743"/>
      <c r="H128" s="743"/>
      <c r="I128" s="743"/>
      <c r="J128" s="92" t="s">
        <v>213</v>
      </c>
      <c r="K128" s="92" t="s">
        <v>17</v>
      </c>
      <c r="L128" s="93" t="s">
        <v>51</v>
      </c>
      <c r="M128" s="93">
        <v>0</v>
      </c>
      <c r="N128" s="820"/>
      <c r="O128" s="743"/>
      <c r="P128" s="424" t="s">
        <v>839</v>
      </c>
      <c r="Q128" s="424" t="s">
        <v>19</v>
      </c>
      <c r="R128" s="424">
        <v>4</v>
      </c>
      <c r="S128" s="424">
        <v>1</v>
      </c>
      <c r="T128" s="424">
        <v>1</v>
      </c>
      <c r="U128" s="424">
        <v>1</v>
      </c>
      <c r="V128" s="901">
        <v>1</v>
      </c>
      <c r="W128" s="741"/>
      <c r="X128" s="706"/>
      <c r="Y128" s="726"/>
      <c r="Z128" s="726"/>
      <c r="AA128" s="499">
        <v>1</v>
      </c>
      <c r="AB128" s="498">
        <v>1</v>
      </c>
      <c r="AC128" s="498">
        <v>1</v>
      </c>
      <c r="AD128" s="76">
        <v>1</v>
      </c>
      <c r="AE128" s="288"/>
      <c r="AF128" s="228"/>
      <c r="AG128" s="228"/>
      <c r="AH128" s="228"/>
      <c r="AI128" s="228"/>
      <c r="AJ128" s="228"/>
      <c r="AK128" s="228"/>
      <c r="AL128" s="228"/>
      <c r="AM128" s="228"/>
      <c r="AN128" s="228"/>
      <c r="AO128" s="228"/>
      <c r="AP128" s="228"/>
      <c r="AQ128" s="228"/>
      <c r="AR128" s="228"/>
      <c r="AS128" s="97" t="s">
        <v>24</v>
      </c>
      <c r="AT128" s="97" t="s">
        <v>24</v>
      </c>
      <c r="AU128" s="810"/>
    </row>
    <row r="129" spans="1:47" s="1" customFormat="1" ht="81" customHeight="1" thickBot="1">
      <c r="A129" s="802"/>
      <c r="B129" s="743"/>
      <c r="C129" s="743"/>
      <c r="D129" s="743"/>
      <c r="E129" s="743"/>
      <c r="F129" s="743"/>
      <c r="G129" s="743"/>
      <c r="H129" s="743"/>
      <c r="I129" s="743"/>
      <c r="J129" s="92" t="s">
        <v>214</v>
      </c>
      <c r="K129" s="92" t="s">
        <v>17</v>
      </c>
      <c r="L129" s="93" t="s">
        <v>51</v>
      </c>
      <c r="M129" s="93">
        <v>0</v>
      </c>
      <c r="N129" s="820"/>
      <c r="O129" s="743"/>
      <c r="P129" s="424"/>
      <c r="Q129" s="424"/>
      <c r="R129" s="424"/>
      <c r="S129" s="424"/>
      <c r="T129" s="424"/>
      <c r="U129" s="424"/>
      <c r="V129" s="902"/>
      <c r="W129" s="741"/>
      <c r="X129" s="706"/>
      <c r="Y129" s="726"/>
      <c r="Z129" s="726"/>
      <c r="AA129" s="499"/>
      <c r="AB129" s="498"/>
      <c r="AC129" s="498"/>
      <c r="AD129" s="76"/>
      <c r="AE129" s="288"/>
      <c r="AF129" s="228"/>
      <c r="AG129" s="228"/>
      <c r="AH129" s="228"/>
      <c r="AI129" s="228"/>
      <c r="AJ129" s="228"/>
      <c r="AK129" s="228"/>
      <c r="AL129" s="228"/>
      <c r="AM129" s="228"/>
      <c r="AN129" s="228"/>
      <c r="AO129" s="228"/>
      <c r="AP129" s="228"/>
      <c r="AQ129" s="228"/>
      <c r="AR129" s="228"/>
      <c r="AS129" s="97" t="s">
        <v>24</v>
      </c>
      <c r="AT129" s="97" t="s">
        <v>24</v>
      </c>
      <c r="AU129" s="810"/>
    </row>
    <row r="130" spans="1:47" s="1" customFormat="1" ht="81" customHeight="1" thickBot="1">
      <c r="A130" s="802"/>
      <c r="B130" s="743"/>
      <c r="C130" s="743"/>
      <c r="D130" s="743"/>
      <c r="E130" s="743"/>
      <c r="F130" s="743"/>
      <c r="G130" s="743"/>
      <c r="H130" s="743"/>
      <c r="I130" s="743"/>
      <c r="J130" s="99" t="s">
        <v>217</v>
      </c>
      <c r="K130" s="92" t="s">
        <v>18</v>
      </c>
      <c r="L130" s="93">
        <v>100</v>
      </c>
      <c r="M130" s="93">
        <v>100</v>
      </c>
      <c r="N130" s="820"/>
      <c r="O130" s="743"/>
      <c r="P130" s="424" t="s">
        <v>407</v>
      </c>
      <c r="Q130" s="424" t="s">
        <v>19</v>
      </c>
      <c r="R130" s="424">
        <v>3</v>
      </c>
      <c r="S130" s="424">
        <v>0</v>
      </c>
      <c r="T130" s="424">
        <v>1</v>
      </c>
      <c r="U130" s="424">
        <v>1</v>
      </c>
      <c r="V130" s="410">
        <v>1</v>
      </c>
      <c r="W130" s="741"/>
      <c r="X130" s="706"/>
      <c r="Y130" s="726"/>
      <c r="Z130" s="726"/>
      <c r="AA130" s="499">
        <v>0</v>
      </c>
      <c r="AB130" s="498">
        <v>0</v>
      </c>
      <c r="AC130" s="498">
        <v>1</v>
      </c>
      <c r="AD130" s="76">
        <v>1</v>
      </c>
      <c r="AE130" s="288"/>
      <c r="AF130" s="228"/>
      <c r="AG130" s="228"/>
      <c r="AH130" s="228"/>
      <c r="AI130" s="228"/>
      <c r="AJ130" s="228"/>
      <c r="AK130" s="228"/>
      <c r="AL130" s="228"/>
      <c r="AM130" s="228"/>
      <c r="AN130" s="228"/>
      <c r="AO130" s="228"/>
      <c r="AP130" s="228"/>
      <c r="AQ130" s="228"/>
      <c r="AR130" s="228"/>
      <c r="AS130" s="97" t="s">
        <v>24</v>
      </c>
      <c r="AT130" s="97" t="s">
        <v>24</v>
      </c>
      <c r="AU130" s="810"/>
    </row>
    <row r="131" spans="1:47" s="1" customFormat="1" ht="101.25" customHeight="1" thickBot="1">
      <c r="A131" s="802"/>
      <c r="B131" s="743"/>
      <c r="C131" s="743"/>
      <c r="D131" s="743"/>
      <c r="E131" s="745"/>
      <c r="F131" s="745"/>
      <c r="G131" s="745"/>
      <c r="H131" s="745"/>
      <c r="I131" s="743"/>
      <c r="J131" s="92" t="s">
        <v>215</v>
      </c>
      <c r="K131" s="92" t="s">
        <v>18</v>
      </c>
      <c r="L131" s="93">
        <v>45</v>
      </c>
      <c r="M131" s="93">
        <v>0</v>
      </c>
      <c r="N131" s="820"/>
      <c r="O131" s="743"/>
      <c r="P131" s="424" t="s">
        <v>840</v>
      </c>
      <c r="Q131" s="424" t="s">
        <v>19</v>
      </c>
      <c r="R131" s="424">
        <v>400</v>
      </c>
      <c r="S131" s="424">
        <v>100</v>
      </c>
      <c r="T131" s="424">
        <v>100</v>
      </c>
      <c r="U131" s="424">
        <v>100</v>
      </c>
      <c r="V131" s="424">
        <v>100</v>
      </c>
      <c r="W131" s="741"/>
      <c r="X131" s="706"/>
      <c r="Y131" s="726"/>
      <c r="Z131" s="726"/>
      <c r="AA131" s="499">
        <v>100</v>
      </c>
      <c r="AB131" s="498">
        <v>100</v>
      </c>
      <c r="AC131" s="498">
        <v>100</v>
      </c>
      <c r="AD131" s="76">
        <v>100</v>
      </c>
      <c r="AE131" s="288"/>
      <c r="AF131" s="228"/>
      <c r="AG131" s="228"/>
      <c r="AH131" s="228"/>
      <c r="AI131" s="228"/>
      <c r="AJ131" s="228"/>
      <c r="AK131" s="228"/>
      <c r="AL131" s="228"/>
      <c r="AM131" s="228"/>
      <c r="AN131" s="228"/>
      <c r="AO131" s="228"/>
      <c r="AP131" s="228"/>
      <c r="AQ131" s="228"/>
      <c r="AR131" s="228"/>
      <c r="AS131" s="97" t="s">
        <v>24</v>
      </c>
      <c r="AT131" s="97" t="s">
        <v>24</v>
      </c>
      <c r="AU131" s="810"/>
    </row>
    <row r="132" spans="1:47" s="1" customFormat="1" ht="56.25" customHeight="1" thickBot="1">
      <c r="A132" s="803"/>
      <c r="B132" s="744"/>
      <c r="C132" s="744"/>
      <c r="D132" s="744"/>
      <c r="E132" s="100" t="s">
        <v>210</v>
      </c>
      <c r="F132" s="100" t="s">
        <v>18</v>
      </c>
      <c r="G132" s="101" t="s">
        <v>51</v>
      </c>
      <c r="H132" s="100">
        <v>75</v>
      </c>
      <c r="I132" s="744"/>
      <c r="J132" s="101" t="s">
        <v>216</v>
      </c>
      <c r="K132" s="101" t="s">
        <v>18</v>
      </c>
      <c r="L132" s="112">
        <v>50</v>
      </c>
      <c r="M132" s="112">
        <v>80</v>
      </c>
      <c r="N132" s="820"/>
      <c r="O132" s="744"/>
      <c r="P132" s="424" t="s">
        <v>841</v>
      </c>
      <c r="Q132" s="424" t="s">
        <v>19</v>
      </c>
      <c r="R132" s="424">
        <v>2</v>
      </c>
      <c r="S132" s="424">
        <v>0</v>
      </c>
      <c r="T132" s="424">
        <v>1</v>
      </c>
      <c r="U132" s="424">
        <v>0</v>
      </c>
      <c r="V132" s="410">
        <v>1</v>
      </c>
      <c r="W132" s="741"/>
      <c r="X132" s="706"/>
      <c r="Y132" s="733"/>
      <c r="Z132" s="726"/>
      <c r="AA132" s="499">
        <v>0</v>
      </c>
      <c r="AB132" s="498">
        <v>1</v>
      </c>
      <c r="AC132" s="498">
        <v>0</v>
      </c>
      <c r="AD132" s="389">
        <v>1</v>
      </c>
      <c r="AE132" s="288"/>
      <c r="AF132" s="228"/>
      <c r="AG132" s="228"/>
      <c r="AH132" s="228"/>
      <c r="AI132" s="228"/>
      <c r="AJ132" s="228"/>
      <c r="AK132" s="228"/>
      <c r="AL132" s="228"/>
      <c r="AM132" s="228"/>
      <c r="AN132" s="228"/>
      <c r="AO132" s="228"/>
      <c r="AP132" s="228"/>
      <c r="AQ132" s="228"/>
      <c r="AR132" s="228"/>
      <c r="AS132" s="97" t="s">
        <v>24</v>
      </c>
      <c r="AT132" s="97" t="s">
        <v>24</v>
      </c>
      <c r="AU132" s="811"/>
    </row>
    <row r="133" spans="1:47" s="1" customFormat="1" ht="98.25" customHeight="1" thickBot="1">
      <c r="A133" s="777" t="s">
        <v>501</v>
      </c>
      <c r="B133" s="711" t="s">
        <v>502</v>
      </c>
      <c r="C133" s="714" t="s">
        <v>503</v>
      </c>
      <c r="D133" s="714" t="s">
        <v>504</v>
      </c>
      <c r="E133" s="714" t="s">
        <v>505</v>
      </c>
      <c r="F133" s="714" t="s">
        <v>18</v>
      </c>
      <c r="G133" s="714">
        <v>90</v>
      </c>
      <c r="H133" s="714">
        <v>90</v>
      </c>
      <c r="I133" s="714"/>
      <c r="J133" s="711" t="s">
        <v>226</v>
      </c>
      <c r="K133" s="711" t="s">
        <v>17</v>
      </c>
      <c r="L133" s="737" t="s">
        <v>51</v>
      </c>
      <c r="M133" s="737">
        <v>2</v>
      </c>
      <c r="N133" s="709"/>
      <c r="O133" s="714" t="s">
        <v>231</v>
      </c>
      <c r="P133" s="424" t="s">
        <v>731</v>
      </c>
      <c r="Q133" s="424" t="s">
        <v>17</v>
      </c>
      <c r="R133" s="424">
        <v>12</v>
      </c>
      <c r="S133" s="424">
        <v>3</v>
      </c>
      <c r="T133" s="424">
        <v>3</v>
      </c>
      <c r="U133" s="424">
        <v>3</v>
      </c>
      <c r="V133" s="427">
        <v>3</v>
      </c>
      <c r="W133" s="893" t="s">
        <v>767</v>
      </c>
      <c r="X133" s="706"/>
      <c r="Y133" s="725">
        <v>184000000</v>
      </c>
      <c r="Z133" s="726">
        <f>+Y133</f>
        <v>184000000</v>
      </c>
      <c r="AA133" s="499">
        <v>3</v>
      </c>
      <c r="AB133" s="71">
        <v>3</v>
      </c>
      <c r="AC133" s="500">
        <v>3</v>
      </c>
      <c r="AD133" s="389">
        <v>3</v>
      </c>
      <c r="AE133" s="288"/>
      <c r="AF133" s="111"/>
      <c r="AG133" s="111"/>
      <c r="AH133" s="223"/>
      <c r="AI133" s="223"/>
      <c r="AJ133" s="223"/>
      <c r="AK133" s="223"/>
      <c r="AL133" s="223"/>
      <c r="AM133" s="223"/>
      <c r="AN133" s="223"/>
      <c r="AO133" s="223"/>
      <c r="AP133" s="223"/>
      <c r="AQ133" s="223"/>
      <c r="AR133" s="223"/>
      <c r="AS133" s="179" t="s">
        <v>430</v>
      </c>
      <c r="AT133" s="179" t="s">
        <v>430</v>
      </c>
      <c r="AU133" s="894"/>
    </row>
    <row r="134" spans="1:47" s="1" customFormat="1" ht="96" customHeight="1" thickBot="1">
      <c r="A134" s="778"/>
      <c r="B134" s="714"/>
      <c r="C134" s="714"/>
      <c r="D134" s="714"/>
      <c r="E134" s="714"/>
      <c r="F134" s="714"/>
      <c r="G134" s="714"/>
      <c r="H134" s="714"/>
      <c r="I134" s="714"/>
      <c r="J134" s="714"/>
      <c r="K134" s="714"/>
      <c r="L134" s="709"/>
      <c r="M134" s="709"/>
      <c r="N134" s="709"/>
      <c r="O134" s="714"/>
      <c r="P134" s="424" t="s">
        <v>842</v>
      </c>
      <c r="Q134" s="424" t="s">
        <v>17</v>
      </c>
      <c r="R134" s="424">
        <v>6</v>
      </c>
      <c r="S134" s="424">
        <v>3</v>
      </c>
      <c r="T134" s="424">
        <v>1</v>
      </c>
      <c r="U134" s="424">
        <v>1</v>
      </c>
      <c r="V134" s="427">
        <v>1</v>
      </c>
      <c r="W134" s="741"/>
      <c r="X134" s="706"/>
      <c r="Y134" s="726"/>
      <c r="Z134" s="726"/>
      <c r="AA134" s="499">
        <v>3</v>
      </c>
      <c r="AB134" s="71">
        <v>1</v>
      </c>
      <c r="AC134" s="500">
        <v>1</v>
      </c>
      <c r="AD134" s="389">
        <v>1</v>
      </c>
      <c r="AE134" s="288"/>
      <c r="AF134" s="111"/>
      <c r="AG134" s="111"/>
      <c r="AH134" s="223"/>
      <c r="AI134" s="223"/>
      <c r="AJ134" s="223"/>
      <c r="AK134" s="223"/>
      <c r="AL134" s="223"/>
      <c r="AM134" s="223"/>
      <c r="AN134" s="223"/>
      <c r="AO134" s="223"/>
      <c r="AP134" s="223"/>
      <c r="AQ134" s="223"/>
      <c r="AR134" s="223"/>
      <c r="AS134" s="179" t="s">
        <v>430</v>
      </c>
      <c r="AT134" s="179" t="s">
        <v>430</v>
      </c>
      <c r="AU134" s="894"/>
    </row>
    <row r="135" spans="1:47" s="1" customFormat="1" ht="83.25" customHeight="1" thickBot="1">
      <c r="A135" s="778"/>
      <c r="B135" s="714"/>
      <c r="C135" s="714"/>
      <c r="D135" s="714"/>
      <c r="E135" s="714"/>
      <c r="F135" s="714"/>
      <c r="G135" s="714"/>
      <c r="H135" s="714"/>
      <c r="I135" s="714"/>
      <c r="J135" s="712"/>
      <c r="K135" s="746"/>
      <c r="L135" s="724"/>
      <c r="M135" s="710"/>
      <c r="N135" s="709"/>
      <c r="O135" s="714"/>
      <c r="P135" s="424" t="s">
        <v>735</v>
      </c>
      <c r="Q135" s="424" t="s">
        <v>17</v>
      </c>
      <c r="R135" s="424">
        <v>6</v>
      </c>
      <c r="S135" s="424">
        <v>1</v>
      </c>
      <c r="T135" s="424">
        <v>2</v>
      </c>
      <c r="U135" s="424">
        <v>2</v>
      </c>
      <c r="V135" s="427">
        <v>1</v>
      </c>
      <c r="W135" s="741"/>
      <c r="X135" s="706"/>
      <c r="Y135" s="726"/>
      <c r="Z135" s="726"/>
      <c r="AA135" s="499">
        <v>1</v>
      </c>
      <c r="AB135" s="76">
        <v>2</v>
      </c>
      <c r="AC135" s="500">
        <v>2</v>
      </c>
      <c r="AD135" s="389">
        <v>1</v>
      </c>
      <c r="AE135" s="288"/>
      <c r="AF135" s="111"/>
      <c r="AG135" s="111"/>
      <c r="AH135" s="223"/>
      <c r="AI135" s="223"/>
      <c r="AJ135" s="223"/>
      <c r="AK135" s="223"/>
      <c r="AL135" s="223"/>
      <c r="AM135" s="223"/>
      <c r="AN135" s="223"/>
      <c r="AO135" s="223"/>
      <c r="AP135" s="223"/>
      <c r="AQ135" s="223"/>
      <c r="AR135" s="223"/>
      <c r="AS135" s="179" t="s">
        <v>430</v>
      </c>
      <c r="AT135" s="179" t="s">
        <v>430</v>
      </c>
      <c r="AU135" s="894"/>
    </row>
    <row r="136" spans="1:47" s="1" customFormat="1" ht="100.5" customHeight="1" thickBot="1">
      <c r="A136" s="778"/>
      <c r="B136" s="714"/>
      <c r="C136" s="714"/>
      <c r="D136" s="714"/>
      <c r="E136" s="714"/>
      <c r="F136" s="714"/>
      <c r="G136" s="714"/>
      <c r="H136" s="714"/>
      <c r="I136" s="714"/>
      <c r="J136" s="713" t="s">
        <v>227</v>
      </c>
      <c r="K136" s="711" t="s">
        <v>17</v>
      </c>
      <c r="L136" s="737" t="s">
        <v>51</v>
      </c>
      <c r="M136" s="708">
        <v>3</v>
      </c>
      <c r="N136" s="709"/>
      <c r="O136" s="714"/>
      <c r="P136" s="424" t="s">
        <v>843</v>
      </c>
      <c r="Q136" s="424" t="s">
        <v>17</v>
      </c>
      <c r="R136" s="424">
        <v>8</v>
      </c>
      <c r="S136" s="424">
        <v>2</v>
      </c>
      <c r="T136" s="424">
        <v>2</v>
      </c>
      <c r="U136" s="424">
        <v>2</v>
      </c>
      <c r="V136" s="427">
        <v>2</v>
      </c>
      <c r="W136" s="741"/>
      <c r="X136" s="706"/>
      <c r="Y136" s="726"/>
      <c r="Z136" s="726"/>
      <c r="AA136" s="499">
        <v>2</v>
      </c>
      <c r="AB136" s="76">
        <v>2</v>
      </c>
      <c r="AC136" s="494">
        <v>2</v>
      </c>
      <c r="AD136" s="389">
        <v>2</v>
      </c>
      <c r="AE136" s="288"/>
      <c r="AF136" s="111"/>
      <c r="AG136" s="111"/>
      <c r="AH136" s="223"/>
      <c r="AI136" s="223"/>
      <c r="AJ136" s="223"/>
      <c r="AK136" s="223"/>
      <c r="AL136" s="223"/>
      <c r="AM136" s="223"/>
      <c r="AN136" s="223"/>
      <c r="AO136" s="223"/>
      <c r="AP136" s="223"/>
      <c r="AQ136" s="223"/>
      <c r="AR136" s="223"/>
      <c r="AS136" s="179" t="s">
        <v>430</v>
      </c>
      <c r="AT136" s="179" t="s">
        <v>430</v>
      </c>
      <c r="AU136" s="894"/>
    </row>
    <row r="137" spans="1:47" s="1" customFormat="1" ht="100.5" customHeight="1" thickBot="1">
      <c r="A137" s="778"/>
      <c r="B137" s="714"/>
      <c r="C137" s="714"/>
      <c r="D137" s="714"/>
      <c r="E137" s="714"/>
      <c r="F137" s="714"/>
      <c r="G137" s="714"/>
      <c r="H137" s="714"/>
      <c r="I137" s="714"/>
      <c r="J137" s="712"/>
      <c r="K137" s="712"/>
      <c r="L137" s="710"/>
      <c r="M137" s="710"/>
      <c r="N137" s="709"/>
      <c r="O137" s="714"/>
      <c r="P137" s="424" t="s">
        <v>732</v>
      </c>
      <c r="Q137" s="424" t="s">
        <v>17</v>
      </c>
      <c r="R137" s="424">
        <v>4</v>
      </c>
      <c r="S137" s="424">
        <v>1</v>
      </c>
      <c r="T137" s="424">
        <v>1</v>
      </c>
      <c r="U137" s="424">
        <v>1</v>
      </c>
      <c r="V137" s="427">
        <v>1</v>
      </c>
      <c r="W137" s="741"/>
      <c r="X137" s="706"/>
      <c r="Y137" s="726"/>
      <c r="Z137" s="726"/>
      <c r="AA137" s="499">
        <v>1</v>
      </c>
      <c r="AB137" s="76">
        <v>1</v>
      </c>
      <c r="AC137" s="494">
        <v>2</v>
      </c>
      <c r="AD137" s="389">
        <v>1</v>
      </c>
      <c r="AE137" s="288"/>
      <c r="AF137" s="111"/>
      <c r="AG137" s="111"/>
      <c r="AH137" s="223"/>
      <c r="AI137" s="223"/>
      <c r="AJ137" s="223"/>
      <c r="AK137" s="223"/>
      <c r="AL137" s="223"/>
      <c r="AM137" s="223"/>
      <c r="AN137" s="223"/>
      <c r="AO137" s="223"/>
      <c r="AP137" s="223"/>
      <c r="AQ137" s="223"/>
      <c r="AR137" s="223"/>
      <c r="AS137" s="179" t="s">
        <v>430</v>
      </c>
      <c r="AT137" s="179" t="s">
        <v>430</v>
      </c>
      <c r="AU137" s="894"/>
    </row>
    <row r="138" spans="1:47" s="1" customFormat="1" ht="90" customHeight="1" thickBot="1">
      <c r="A138" s="778"/>
      <c r="B138" s="714"/>
      <c r="C138" s="714"/>
      <c r="D138" s="714"/>
      <c r="E138" s="712"/>
      <c r="F138" s="712"/>
      <c r="G138" s="712"/>
      <c r="H138" s="712"/>
      <c r="I138" s="714"/>
      <c r="J138" s="105" t="s">
        <v>228</v>
      </c>
      <c r="K138" s="105" t="s">
        <v>18</v>
      </c>
      <c r="L138" s="104" t="s">
        <v>51</v>
      </c>
      <c r="M138" s="104">
        <v>60</v>
      </c>
      <c r="N138" s="710"/>
      <c r="O138" s="712"/>
      <c r="P138" s="424" t="s">
        <v>733</v>
      </c>
      <c r="Q138" s="424" t="s">
        <v>17</v>
      </c>
      <c r="R138" s="424">
        <v>12</v>
      </c>
      <c r="S138" s="424">
        <v>3</v>
      </c>
      <c r="T138" s="424">
        <v>3</v>
      </c>
      <c r="U138" s="424">
        <v>3</v>
      </c>
      <c r="V138" s="427">
        <v>3</v>
      </c>
      <c r="W138" s="741"/>
      <c r="X138" s="706"/>
      <c r="Y138" s="726"/>
      <c r="Z138" s="726"/>
      <c r="AA138" s="499">
        <v>3</v>
      </c>
      <c r="AB138" s="76">
        <v>3</v>
      </c>
      <c r="AC138" s="494">
        <v>3</v>
      </c>
      <c r="AD138" s="389">
        <v>3</v>
      </c>
      <c r="AE138" s="288"/>
      <c r="AF138" s="111"/>
      <c r="AG138" s="111"/>
      <c r="AH138" s="223"/>
      <c r="AI138" s="223"/>
      <c r="AJ138" s="223"/>
      <c r="AK138" s="223"/>
      <c r="AL138" s="223"/>
      <c r="AM138" s="223"/>
      <c r="AN138" s="223"/>
      <c r="AO138" s="223"/>
      <c r="AP138" s="223"/>
      <c r="AQ138" s="223"/>
      <c r="AR138" s="223"/>
      <c r="AS138" s="179" t="s">
        <v>430</v>
      </c>
      <c r="AT138" s="179" t="s">
        <v>430</v>
      </c>
      <c r="AU138" s="894"/>
    </row>
    <row r="139" spans="1:47" s="1" customFormat="1" ht="87" customHeight="1" thickBot="1">
      <c r="A139" s="778"/>
      <c r="B139" s="714"/>
      <c r="C139" s="714"/>
      <c r="D139" s="714"/>
      <c r="E139" s="713" t="s">
        <v>225</v>
      </c>
      <c r="F139" s="713" t="s">
        <v>82</v>
      </c>
      <c r="G139" s="713" t="s">
        <v>51</v>
      </c>
      <c r="H139" s="713">
        <v>1</v>
      </c>
      <c r="I139" s="714"/>
      <c r="J139" s="105" t="s">
        <v>229</v>
      </c>
      <c r="K139" s="105" t="s">
        <v>17</v>
      </c>
      <c r="L139" s="104" t="s">
        <v>51</v>
      </c>
      <c r="M139" s="104">
        <v>1</v>
      </c>
      <c r="N139" s="708"/>
      <c r="O139" s="713" t="s">
        <v>232</v>
      </c>
      <c r="P139" s="424" t="s">
        <v>416</v>
      </c>
      <c r="Q139" s="424" t="s">
        <v>17</v>
      </c>
      <c r="R139" s="424">
        <v>12</v>
      </c>
      <c r="S139" s="424">
        <v>3</v>
      </c>
      <c r="T139" s="424">
        <v>3</v>
      </c>
      <c r="U139" s="424">
        <v>3</v>
      </c>
      <c r="V139" s="427">
        <v>3</v>
      </c>
      <c r="W139" s="741"/>
      <c r="X139" s="706"/>
      <c r="Y139" s="726"/>
      <c r="Z139" s="726"/>
      <c r="AA139" s="499">
        <v>3</v>
      </c>
      <c r="AB139" s="76">
        <v>3</v>
      </c>
      <c r="AC139" s="494">
        <v>3</v>
      </c>
      <c r="AD139" s="389">
        <v>3</v>
      </c>
      <c r="AE139" s="288"/>
      <c r="AF139" s="111"/>
      <c r="AG139" s="111"/>
      <c r="AH139" s="223"/>
      <c r="AI139" s="223"/>
      <c r="AJ139" s="223"/>
      <c r="AK139" s="223"/>
      <c r="AL139" s="223"/>
      <c r="AM139" s="223"/>
      <c r="AN139" s="223"/>
      <c r="AO139" s="223"/>
      <c r="AP139" s="223"/>
      <c r="AQ139" s="223"/>
      <c r="AR139" s="223"/>
      <c r="AS139" s="179" t="s">
        <v>430</v>
      </c>
      <c r="AT139" s="179" t="s">
        <v>430</v>
      </c>
      <c r="AU139" s="894"/>
    </row>
    <row r="140" spans="1:47" s="1" customFormat="1" ht="96" customHeight="1" thickBot="1">
      <c r="A140" s="778"/>
      <c r="B140" s="714"/>
      <c r="C140" s="714"/>
      <c r="D140" s="714"/>
      <c r="E140" s="714"/>
      <c r="F140" s="714"/>
      <c r="G140" s="714"/>
      <c r="H140" s="714"/>
      <c r="I140" s="712"/>
      <c r="J140" s="105" t="s">
        <v>230</v>
      </c>
      <c r="K140" s="105" t="s">
        <v>17</v>
      </c>
      <c r="L140" s="104" t="s">
        <v>51</v>
      </c>
      <c r="M140" s="104">
        <v>1</v>
      </c>
      <c r="N140" s="710"/>
      <c r="O140" s="712"/>
      <c r="P140" s="424" t="s">
        <v>844</v>
      </c>
      <c r="Q140" s="424" t="s">
        <v>17</v>
      </c>
      <c r="R140" s="424">
        <v>1</v>
      </c>
      <c r="S140" s="424">
        <v>0</v>
      </c>
      <c r="T140" s="424">
        <v>0</v>
      </c>
      <c r="U140" s="424">
        <v>0</v>
      </c>
      <c r="V140" s="427">
        <v>1</v>
      </c>
      <c r="W140" s="741"/>
      <c r="X140" s="706"/>
      <c r="Y140" s="726"/>
      <c r="Z140" s="726"/>
      <c r="AA140" s="499">
        <v>0</v>
      </c>
      <c r="AB140" s="76">
        <v>0</v>
      </c>
      <c r="AC140" s="76">
        <v>0</v>
      </c>
      <c r="AD140" s="389">
        <v>1</v>
      </c>
      <c r="AE140" s="288"/>
      <c r="AF140" s="111"/>
      <c r="AG140" s="111"/>
      <c r="AH140" s="223"/>
      <c r="AI140" s="223"/>
      <c r="AJ140" s="223"/>
      <c r="AK140" s="223"/>
      <c r="AL140" s="223"/>
      <c r="AM140" s="223"/>
      <c r="AN140" s="223"/>
      <c r="AO140" s="223"/>
      <c r="AP140" s="223"/>
      <c r="AQ140" s="223"/>
      <c r="AR140" s="223"/>
      <c r="AS140" s="179" t="s">
        <v>430</v>
      </c>
      <c r="AT140" s="179" t="s">
        <v>430</v>
      </c>
      <c r="AU140" s="894"/>
    </row>
    <row r="141" spans="1:47" s="1" customFormat="1" ht="96" customHeight="1" thickBot="1">
      <c r="A141" s="778"/>
      <c r="B141" s="714"/>
      <c r="C141" s="714"/>
      <c r="D141" s="714"/>
      <c r="E141" s="714"/>
      <c r="F141" s="714"/>
      <c r="G141" s="714"/>
      <c r="H141" s="714"/>
      <c r="I141" s="713" t="s">
        <v>233</v>
      </c>
      <c r="J141" s="713" t="s">
        <v>234</v>
      </c>
      <c r="K141" s="713" t="s">
        <v>17</v>
      </c>
      <c r="L141" s="708" t="s">
        <v>51</v>
      </c>
      <c r="M141" s="708">
        <v>1</v>
      </c>
      <c r="N141" s="708"/>
      <c r="O141" s="713" t="s">
        <v>235</v>
      </c>
      <c r="P141" s="424" t="s">
        <v>734</v>
      </c>
      <c r="Q141" s="424" t="s">
        <v>17</v>
      </c>
      <c r="R141" s="424">
        <v>12</v>
      </c>
      <c r="S141" s="424">
        <v>3</v>
      </c>
      <c r="T141" s="424">
        <v>3</v>
      </c>
      <c r="U141" s="424">
        <v>3</v>
      </c>
      <c r="V141" s="427">
        <v>3</v>
      </c>
      <c r="W141" s="890"/>
      <c r="X141" s="707"/>
      <c r="Y141" s="727"/>
      <c r="Z141" s="727"/>
      <c r="AA141" s="499">
        <v>3</v>
      </c>
      <c r="AB141" s="76">
        <v>3</v>
      </c>
      <c r="AC141" s="76">
        <v>3</v>
      </c>
      <c r="AD141" s="389">
        <v>3</v>
      </c>
      <c r="AE141" s="288"/>
      <c r="AF141" s="111"/>
      <c r="AG141" s="111"/>
      <c r="AH141" s="223"/>
      <c r="AI141" s="223"/>
      <c r="AJ141" s="223"/>
      <c r="AK141" s="223"/>
      <c r="AL141" s="223"/>
      <c r="AM141" s="223"/>
      <c r="AN141" s="223"/>
      <c r="AO141" s="223"/>
      <c r="AP141" s="223"/>
      <c r="AQ141" s="223"/>
      <c r="AR141" s="223"/>
      <c r="AS141" s="179" t="s">
        <v>430</v>
      </c>
      <c r="AT141" s="179" t="s">
        <v>430</v>
      </c>
      <c r="AU141" s="894"/>
    </row>
    <row r="142" spans="1:47" s="1" customFormat="1" ht="92.25" customHeight="1" thickBot="1">
      <c r="A142" s="778"/>
      <c r="B142" s="714"/>
      <c r="C142" s="712"/>
      <c r="D142" s="712"/>
      <c r="E142" s="712"/>
      <c r="F142" s="712"/>
      <c r="G142" s="712"/>
      <c r="H142" s="712"/>
      <c r="I142" s="712"/>
      <c r="J142" s="712"/>
      <c r="K142" s="712"/>
      <c r="L142" s="710"/>
      <c r="M142" s="710"/>
      <c r="N142" s="710"/>
      <c r="O142" s="712"/>
      <c r="P142" s="424" t="s">
        <v>736</v>
      </c>
      <c r="Q142" s="424" t="s">
        <v>17</v>
      </c>
      <c r="R142" s="424">
        <v>6</v>
      </c>
      <c r="S142" s="424">
        <v>1</v>
      </c>
      <c r="T142" s="424">
        <v>2</v>
      </c>
      <c r="U142" s="424">
        <v>2</v>
      </c>
      <c r="V142" s="427">
        <v>1</v>
      </c>
      <c r="W142" s="887" t="s">
        <v>768</v>
      </c>
      <c r="X142" s="889"/>
      <c r="Y142" s="732">
        <f>96000000+31634544+35424000+38544610+40114580</f>
        <v>241717734</v>
      </c>
      <c r="Z142" s="732">
        <f>+Y142</f>
        <v>241717734</v>
      </c>
      <c r="AA142" s="499">
        <v>1</v>
      </c>
      <c r="AB142" s="76">
        <v>2</v>
      </c>
      <c r="AC142" s="76">
        <v>2</v>
      </c>
      <c r="AD142" s="389">
        <v>1</v>
      </c>
      <c r="AE142" s="288"/>
      <c r="AF142" s="111"/>
      <c r="AG142" s="111"/>
      <c r="AH142" s="111"/>
      <c r="AI142" s="111"/>
      <c r="AJ142" s="111"/>
      <c r="AK142" s="111"/>
      <c r="AL142" s="111"/>
      <c r="AM142" s="111"/>
      <c r="AN142" s="111"/>
      <c r="AO142" s="111"/>
      <c r="AP142" s="111"/>
      <c r="AQ142" s="111"/>
      <c r="AR142" s="111"/>
      <c r="AS142" s="108" t="s">
        <v>431</v>
      </c>
      <c r="AT142" s="108" t="s">
        <v>431</v>
      </c>
      <c r="AU142" s="895"/>
    </row>
    <row r="143" spans="1:47" s="1" customFormat="1" ht="96.75" customHeight="1" thickBot="1">
      <c r="A143" s="778"/>
      <c r="B143" s="714"/>
      <c r="C143" s="713" t="s">
        <v>236</v>
      </c>
      <c r="D143" s="713" t="s">
        <v>237</v>
      </c>
      <c r="E143" s="713" t="s">
        <v>238</v>
      </c>
      <c r="F143" s="713" t="s">
        <v>18</v>
      </c>
      <c r="G143" s="713">
        <v>95</v>
      </c>
      <c r="H143" s="713">
        <v>95</v>
      </c>
      <c r="I143" s="713" t="s">
        <v>240</v>
      </c>
      <c r="J143" s="713" t="s">
        <v>241</v>
      </c>
      <c r="K143" s="713" t="s">
        <v>18</v>
      </c>
      <c r="L143" s="708">
        <v>92</v>
      </c>
      <c r="M143" s="708">
        <v>97</v>
      </c>
      <c r="N143" s="106"/>
      <c r="O143" s="104" t="s">
        <v>242</v>
      </c>
      <c r="P143" s="424" t="s">
        <v>506</v>
      </c>
      <c r="Q143" s="424" t="s">
        <v>17</v>
      </c>
      <c r="R143" s="424">
        <v>12</v>
      </c>
      <c r="S143" s="424">
        <v>3</v>
      </c>
      <c r="T143" s="424">
        <v>3</v>
      </c>
      <c r="U143" s="424">
        <v>3</v>
      </c>
      <c r="V143" s="427">
        <v>3</v>
      </c>
      <c r="W143" s="741"/>
      <c r="X143" s="706"/>
      <c r="Y143" s="726"/>
      <c r="Z143" s="726"/>
      <c r="AA143" s="498">
        <v>3</v>
      </c>
      <c r="AB143" s="76">
        <v>3</v>
      </c>
      <c r="AC143" s="76">
        <v>3</v>
      </c>
      <c r="AD143" s="389">
        <v>3</v>
      </c>
      <c r="AE143" s="288"/>
      <c r="AF143" s="111"/>
      <c r="AG143" s="111"/>
      <c r="AH143" s="111"/>
      <c r="AI143" s="111"/>
      <c r="AJ143" s="111"/>
      <c r="AK143" s="111"/>
      <c r="AL143" s="111"/>
      <c r="AM143" s="111"/>
      <c r="AN143" s="111"/>
      <c r="AO143" s="111"/>
      <c r="AP143" s="111"/>
      <c r="AQ143" s="111"/>
      <c r="AR143" s="111"/>
      <c r="AS143" s="108" t="s">
        <v>431</v>
      </c>
      <c r="AT143" s="108" t="s">
        <v>431</v>
      </c>
      <c r="AU143" s="809" t="s">
        <v>335</v>
      </c>
    </row>
    <row r="144" spans="1:47" s="1" customFormat="1" ht="96.75" customHeight="1" thickBot="1">
      <c r="A144" s="778"/>
      <c r="B144" s="714"/>
      <c r="C144" s="714"/>
      <c r="D144" s="714"/>
      <c r="E144" s="712"/>
      <c r="F144" s="712"/>
      <c r="G144" s="712"/>
      <c r="H144" s="712"/>
      <c r="I144" s="714"/>
      <c r="J144" s="714"/>
      <c r="K144" s="714"/>
      <c r="L144" s="709"/>
      <c r="M144" s="709"/>
      <c r="N144" s="106"/>
      <c r="O144" s="713" t="s">
        <v>243</v>
      </c>
      <c r="P144" s="424" t="s">
        <v>737</v>
      </c>
      <c r="Q144" s="424" t="s">
        <v>17</v>
      </c>
      <c r="R144" s="424">
        <v>9</v>
      </c>
      <c r="S144" s="424">
        <v>2</v>
      </c>
      <c r="T144" s="424">
        <v>2</v>
      </c>
      <c r="U144" s="424">
        <v>3</v>
      </c>
      <c r="V144" s="427">
        <v>2</v>
      </c>
      <c r="W144" s="741"/>
      <c r="X144" s="706"/>
      <c r="Y144" s="726"/>
      <c r="Z144" s="726"/>
      <c r="AA144" s="498">
        <v>2</v>
      </c>
      <c r="AB144" s="76">
        <v>2</v>
      </c>
      <c r="AC144" s="76">
        <v>3</v>
      </c>
      <c r="AD144" s="389">
        <v>2</v>
      </c>
      <c r="AE144" s="288"/>
      <c r="AF144" s="111"/>
      <c r="AG144" s="111"/>
      <c r="AH144" s="111"/>
      <c r="AI144" s="111"/>
      <c r="AJ144" s="111"/>
      <c r="AK144" s="111"/>
      <c r="AL144" s="111"/>
      <c r="AM144" s="111"/>
      <c r="AN144" s="111"/>
      <c r="AO144" s="111"/>
      <c r="AP144" s="111"/>
      <c r="AQ144" s="111"/>
      <c r="AR144" s="111"/>
      <c r="AS144" s="108" t="s">
        <v>431</v>
      </c>
      <c r="AT144" s="108" t="s">
        <v>431</v>
      </c>
      <c r="AU144" s="810"/>
    </row>
    <row r="145" spans="1:54" s="1" customFormat="1" ht="96.75" customHeight="1" thickBot="1">
      <c r="A145" s="778"/>
      <c r="B145" s="714"/>
      <c r="C145" s="714"/>
      <c r="D145" s="714"/>
      <c r="E145" s="401"/>
      <c r="F145" s="401"/>
      <c r="G145" s="401"/>
      <c r="H145" s="401"/>
      <c r="I145" s="714"/>
      <c r="J145" s="714"/>
      <c r="K145" s="714"/>
      <c r="L145" s="709"/>
      <c r="M145" s="709"/>
      <c r="N145" s="106"/>
      <c r="O145" s="714"/>
      <c r="P145" s="424" t="s">
        <v>738</v>
      </c>
      <c r="Q145" s="424" t="s">
        <v>17</v>
      </c>
      <c r="R145" s="424">
        <v>6</v>
      </c>
      <c r="S145" s="424">
        <v>1</v>
      </c>
      <c r="T145" s="424">
        <v>2</v>
      </c>
      <c r="U145" s="424">
        <v>2</v>
      </c>
      <c r="V145" s="427">
        <v>1</v>
      </c>
      <c r="W145" s="741"/>
      <c r="X145" s="706"/>
      <c r="Y145" s="726"/>
      <c r="Z145" s="726"/>
      <c r="AA145" s="498">
        <v>1</v>
      </c>
      <c r="AB145" s="76">
        <v>2</v>
      </c>
      <c r="AC145" s="76">
        <v>2</v>
      </c>
      <c r="AD145" s="389">
        <v>1</v>
      </c>
      <c r="AE145" s="288"/>
      <c r="AF145" s="111"/>
      <c r="AG145" s="111"/>
      <c r="AH145" s="111"/>
      <c r="AI145" s="111"/>
      <c r="AJ145" s="111"/>
      <c r="AK145" s="111"/>
      <c r="AL145" s="111"/>
      <c r="AM145" s="111"/>
      <c r="AN145" s="111"/>
      <c r="AO145" s="111"/>
      <c r="AP145" s="111"/>
      <c r="AQ145" s="111"/>
      <c r="AR145" s="111"/>
      <c r="AS145" s="108"/>
      <c r="AT145" s="108"/>
      <c r="AU145" s="810"/>
    </row>
    <row r="146" spans="1:54" s="1" customFormat="1" ht="100.5" customHeight="1" thickBot="1">
      <c r="A146" s="778"/>
      <c r="B146" s="714"/>
      <c r="C146" s="714"/>
      <c r="D146" s="714"/>
      <c r="E146" s="713" t="s">
        <v>239</v>
      </c>
      <c r="F146" s="713" t="s">
        <v>18</v>
      </c>
      <c r="G146" s="713">
        <v>100</v>
      </c>
      <c r="H146" s="713">
        <v>100</v>
      </c>
      <c r="I146" s="712"/>
      <c r="J146" s="712"/>
      <c r="K146" s="712"/>
      <c r="L146" s="710"/>
      <c r="M146" s="710"/>
      <c r="N146" s="106"/>
      <c r="O146" s="712"/>
      <c r="P146" s="424" t="s">
        <v>845</v>
      </c>
      <c r="Q146" s="424" t="s">
        <v>17</v>
      </c>
      <c r="R146" s="424">
        <v>6</v>
      </c>
      <c r="S146" s="424">
        <v>1</v>
      </c>
      <c r="T146" s="424">
        <v>2</v>
      </c>
      <c r="U146" s="424">
        <v>2</v>
      </c>
      <c r="V146" s="427">
        <v>1</v>
      </c>
      <c r="W146" s="741"/>
      <c r="X146" s="706"/>
      <c r="Y146" s="726"/>
      <c r="Z146" s="726"/>
      <c r="AA146" s="498">
        <v>1</v>
      </c>
      <c r="AB146" s="76">
        <v>2</v>
      </c>
      <c r="AC146" s="76">
        <v>2</v>
      </c>
      <c r="AD146" s="389">
        <v>1</v>
      </c>
      <c r="AE146" s="288"/>
      <c r="AF146" s="111"/>
      <c r="AG146" s="111"/>
      <c r="AH146" s="111"/>
      <c r="AI146" s="111"/>
      <c r="AJ146" s="111"/>
      <c r="AK146" s="111"/>
      <c r="AL146" s="111"/>
      <c r="AM146" s="111"/>
      <c r="AN146" s="111"/>
      <c r="AO146" s="111"/>
      <c r="AP146" s="111"/>
      <c r="AQ146" s="111"/>
      <c r="AR146" s="111"/>
      <c r="AS146" s="108" t="s">
        <v>431</v>
      </c>
      <c r="AT146" s="108" t="s">
        <v>431</v>
      </c>
      <c r="AU146" s="810"/>
    </row>
    <row r="147" spans="1:54" s="1" customFormat="1" ht="106.5" customHeight="1" thickBot="1">
      <c r="A147" s="778"/>
      <c r="B147" s="714"/>
      <c r="C147" s="714"/>
      <c r="D147" s="714"/>
      <c r="E147" s="714"/>
      <c r="F147" s="714"/>
      <c r="G147" s="714"/>
      <c r="H147" s="714"/>
      <c r="I147" s="713" t="s">
        <v>244</v>
      </c>
      <c r="J147" s="713" t="s">
        <v>245</v>
      </c>
      <c r="K147" s="713" t="s">
        <v>18</v>
      </c>
      <c r="L147" s="708">
        <v>100</v>
      </c>
      <c r="M147" s="708">
        <v>100</v>
      </c>
      <c r="N147" s="106"/>
      <c r="O147" s="708" t="s">
        <v>246</v>
      </c>
      <c r="P147" s="424" t="s">
        <v>422</v>
      </c>
      <c r="Q147" s="424" t="s">
        <v>17</v>
      </c>
      <c r="R147" s="424">
        <v>4</v>
      </c>
      <c r="S147" s="424">
        <v>1</v>
      </c>
      <c r="T147" s="424">
        <v>1</v>
      </c>
      <c r="U147" s="424">
        <v>1</v>
      </c>
      <c r="V147" s="427">
        <v>1</v>
      </c>
      <c r="W147" s="741"/>
      <c r="X147" s="706"/>
      <c r="Y147" s="726"/>
      <c r="Z147" s="726"/>
      <c r="AA147" s="498">
        <v>1</v>
      </c>
      <c r="AB147" s="76">
        <v>1</v>
      </c>
      <c r="AC147" s="76">
        <v>1</v>
      </c>
      <c r="AD147" s="389">
        <v>1</v>
      </c>
      <c r="AE147" s="288"/>
      <c r="AF147" s="111"/>
      <c r="AG147" s="111"/>
      <c r="AH147" s="111"/>
      <c r="AI147" s="111"/>
      <c r="AJ147" s="111"/>
      <c r="AK147" s="111"/>
      <c r="AL147" s="111"/>
      <c r="AM147" s="111"/>
      <c r="AN147" s="111"/>
      <c r="AO147" s="111"/>
      <c r="AP147" s="111"/>
      <c r="AQ147" s="111"/>
      <c r="AR147" s="111"/>
      <c r="AS147" s="108" t="s">
        <v>431</v>
      </c>
      <c r="AT147" s="108" t="s">
        <v>431</v>
      </c>
      <c r="AU147" s="810"/>
    </row>
    <row r="148" spans="1:54" s="1" customFormat="1" ht="75.75" customHeight="1" thickBot="1">
      <c r="A148" s="778"/>
      <c r="B148" s="714"/>
      <c r="C148" s="714"/>
      <c r="D148" s="714"/>
      <c r="E148" s="714"/>
      <c r="F148" s="714"/>
      <c r="G148" s="714"/>
      <c r="H148" s="714"/>
      <c r="I148" s="714"/>
      <c r="J148" s="714"/>
      <c r="K148" s="714"/>
      <c r="L148" s="709"/>
      <c r="M148" s="709"/>
      <c r="N148" s="106"/>
      <c r="O148" s="710"/>
      <c r="P148" s="424" t="s">
        <v>846</v>
      </c>
      <c r="Q148" s="424" t="s">
        <v>17</v>
      </c>
      <c r="R148" s="424">
        <v>6</v>
      </c>
      <c r="S148" s="424">
        <v>1</v>
      </c>
      <c r="T148" s="424">
        <v>2</v>
      </c>
      <c r="U148" s="424">
        <v>2</v>
      </c>
      <c r="V148" s="427">
        <v>1</v>
      </c>
      <c r="W148" s="741"/>
      <c r="X148" s="706"/>
      <c r="Y148" s="726"/>
      <c r="Z148" s="726"/>
      <c r="AA148" s="498">
        <v>1</v>
      </c>
      <c r="AB148" s="76">
        <v>2</v>
      </c>
      <c r="AC148" s="76">
        <v>2</v>
      </c>
      <c r="AD148" s="389">
        <v>1</v>
      </c>
      <c r="AE148" s="288"/>
      <c r="AF148" s="111"/>
      <c r="AG148" s="111"/>
      <c r="AH148" s="111"/>
      <c r="AI148" s="111"/>
      <c r="AJ148" s="111"/>
      <c r="AK148" s="111"/>
      <c r="AL148" s="111"/>
      <c r="AM148" s="111"/>
      <c r="AN148" s="111"/>
      <c r="AO148" s="111"/>
      <c r="AP148" s="111"/>
      <c r="AQ148" s="111"/>
      <c r="AR148" s="111"/>
      <c r="AS148" s="108" t="s">
        <v>431</v>
      </c>
      <c r="AT148" s="108" t="s">
        <v>431</v>
      </c>
      <c r="AU148" s="810"/>
    </row>
    <row r="149" spans="1:54" s="1" customFormat="1" ht="42.75" customHeight="1" thickBot="1">
      <c r="A149" s="778"/>
      <c r="B149" s="714"/>
      <c r="C149" s="714"/>
      <c r="D149" s="714"/>
      <c r="E149" s="714"/>
      <c r="F149" s="714"/>
      <c r="G149" s="714"/>
      <c r="H149" s="714"/>
      <c r="I149" s="714"/>
      <c r="J149" s="714"/>
      <c r="K149" s="714"/>
      <c r="L149" s="709"/>
      <c r="M149" s="709"/>
      <c r="N149" s="106"/>
      <c r="O149" s="708" t="s">
        <v>248</v>
      </c>
      <c r="P149" s="424" t="s">
        <v>847</v>
      </c>
      <c r="Q149" s="424" t="s">
        <v>17</v>
      </c>
      <c r="R149" s="424">
        <v>12</v>
      </c>
      <c r="S149" s="424">
        <v>3</v>
      </c>
      <c r="T149" s="424">
        <v>3</v>
      </c>
      <c r="U149" s="424">
        <v>3</v>
      </c>
      <c r="V149" s="427">
        <v>3</v>
      </c>
      <c r="W149" s="741"/>
      <c r="X149" s="706"/>
      <c r="Y149" s="726"/>
      <c r="Z149" s="726"/>
      <c r="AA149" s="498">
        <v>3</v>
      </c>
      <c r="AB149" s="76">
        <v>3</v>
      </c>
      <c r="AC149" s="76">
        <v>3</v>
      </c>
      <c r="AD149" s="389">
        <v>3</v>
      </c>
      <c r="AE149" s="288"/>
      <c r="AF149" s="111"/>
      <c r="AG149" s="111"/>
      <c r="AH149" s="111"/>
      <c r="AI149" s="111"/>
      <c r="AJ149" s="111"/>
      <c r="AK149" s="111"/>
      <c r="AL149" s="111"/>
      <c r="AM149" s="111"/>
      <c r="AN149" s="111"/>
      <c r="AO149" s="111"/>
      <c r="AP149" s="111"/>
      <c r="AQ149" s="111"/>
      <c r="AR149" s="111"/>
      <c r="AS149" s="108" t="s">
        <v>431</v>
      </c>
      <c r="AT149" s="108" t="s">
        <v>431</v>
      </c>
      <c r="AU149" s="810"/>
    </row>
    <row r="150" spans="1:54" s="1" customFormat="1" ht="63" customHeight="1" thickBot="1">
      <c r="A150" s="778"/>
      <c r="B150" s="714"/>
      <c r="C150" s="714"/>
      <c r="D150" s="714"/>
      <c r="E150" s="714"/>
      <c r="F150" s="714"/>
      <c r="G150" s="714"/>
      <c r="H150" s="714"/>
      <c r="I150" s="714"/>
      <c r="J150" s="714"/>
      <c r="K150" s="714"/>
      <c r="L150" s="709"/>
      <c r="M150" s="709"/>
      <c r="N150" s="106"/>
      <c r="O150" s="709"/>
      <c r="P150" s="424" t="s">
        <v>426</v>
      </c>
      <c r="Q150" s="424" t="s">
        <v>17</v>
      </c>
      <c r="R150" s="424">
        <v>10</v>
      </c>
      <c r="S150" s="424">
        <v>2</v>
      </c>
      <c r="T150" s="424">
        <v>3</v>
      </c>
      <c r="U150" s="424">
        <v>3</v>
      </c>
      <c r="V150" s="427">
        <v>2</v>
      </c>
      <c r="W150" s="741"/>
      <c r="X150" s="706"/>
      <c r="Y150" s="726"/>
      <c r="Z150" s="726"/>
      <c r="AA150" s="498">
        <v>2</v>
      </c>
      <c r="AB150" s="76">
        <v>3</v>
      </c>
      <c r="AC150" s="76">
        <v>3</v>
      </c>
      <c r="AD150" s="389">
        <v>2</v>
      </c>
      <c r="AE150" s="288"/>
      <c r="AF150" s="111"/>
      <c r="AG150" s="111"/>
      <c r="AH150" s="111"/>
      <c r="AI150" s="111"/>
      <c r="AJ150" s="111"/>
      <c r="AK150" s="111"/>
      <c r="AL150" s="111"/>
      <c r="AM150" s="111"/>
      <c r="AN150" s="111"/>
      <c r="AO150" s="111"/>
      <c r="AP150" s="111"/>
      <c r="AQ150" s="111"/>
      <c r="AR150" s="111"/>
      <c r="AS150" s="108" t="s">
        <v>431</v>
      </c>
      <c r="AT150" s="108" t="s">
        <v>431</v>
      </c>
      <c r="AU150" s="810"/>
    </row>
    <row r="151" spans="1:54" s="1" customFormat="1" ht="96" customHeight="1" thickBot="1">
      <c r="A151" s="778"/>
      <c r="B151" s="714"/>
      <c r="C151" s="714"/>
      <c r="D151" s="714"/>
      <c r="E151" s="714"/>
      <c r="F151" s="714"/>
      <c r="G151" s="714"/>
      <c r="H151" s="714"/>
      <c r="I151" s="714"/>
      <c r="J151" s="714"/>
      <c r="K151" s="714"/>
      <c r="L151" s="709"/>
      <c r="M151" s="709"/>
      <c r="N151" s="106"/>
      <c r="O151" s="710"/>
      <c r="P151" s="424" t="s">
        <v>848</v>
      </c>
      <c r="Q151" s="424" t="s">
        <v>17</v>
      </c>
      <c r="R151" s="424">
        <v>12</v>
      </c>
      <c r="S151" s="424">
        <v>3</v>
      </c>
      <c r="T151" s="424">
        <v>3</v>
      </c>
      <c r="U151" s="424">
        <v>3</v>
      </c>
      <c r="V151" s="427">
        <v>3</v>
      </c>
      <c r="W151" s="741"/>
      <c r="X151" s="706"/>
      <c r="Y151" s="726"/>
      <c r="Z151" s="726"/>
      <c r="AA151" s="498">
        <v>3</v>
      </c>
      <c r="AB151" s="76">
        <v>3</v>
      </c>
      <c r="AC151" s="76">
        <v>3</v>
      </c>
      <c r="AD151" s="389">
        <v>3</v>
      </c>
      <c r="AE151" s="288"/>
      <c r="AF151" s="111"/>
      <c r="AG151" s="111"/>
      <c r="AH151" s="111"/>
      <c r="AI151" s="111"/>
      <c r="AJ151" s="111"/>
      <c r="AK151" s="111"/>
      <c r="AL151" s="111"/>
      <c r="AM151" s="111"/>
      <c r="AN151" s="111"/>
      <c r="AO151" s="111"/>
      <c r="AP151" s="111"/>
      <c r="AQ151" s="111"/>
      <c r="AR151" s="111"/>
      <c r="AS151" s="108" t="s">
        <v>431</v>
      </c>
      <c r="AT151" s="108" t="s">
        <v>431</v>
      </c>
      <c r="AU151" s="810"/>
    </row>
    <row r="152" spans="1:54" s="1" customFormat="1" ht="126" customHeight="1" thickBot="1">
      <c r="A152" s="778"/>
      <c r="B152" s="714"/>
      <c r="C152" s="714"/>
      <c r="D152" s="714"/>
      <c r="E152" s="714"/>
      <c r="F152" s="714"/>
      <c r="G152" s="714"/>
      <c r="H152" s="714"/>
      <c r="I152" s="714"/>
      <c r="J152" s="714"/>
      <c r="K152" s="714"/>
      <c r="L152" s="709"/>
      <c r="M152" s="709"/>
      <c r="N152" s="106"/>
      <c r="O152" s="108" t="s">
        <v>249</v>
      </c>
      <c r="P152" s="424" t="s">
        <v>849</v>
      </c>
      <c r="Q152" s="424" t="s">
        <v>17</v>
      </c>
      <c r="R152" s="424">
        <v>12</v>
      </c>
      <c r="S152" s="424">
        <v>3</v>
      </c>
      <c r="T152" s="424">
        <v>3</v>
      </c>
      <c r="U152" s="424">
        <v>3</v>
      </c>
      <c r="V152" s="427">
        <v>3</v>
      </c>
      <c r="W152" s="741"/>
      <c r="X152" s="706"/>
      <c r="Y152" s="726"/>
      <c r="Z152" s="726"/>
      <c r="AA152" s="498">
        <v>3</v>
      </c>
      <c r="AB152" s="76">
        <v>3</v>
      </c>
      <c r="AC152" s="76">
        <v>3</v>
      </c>
      <c r="AD152" s="389">
        <v>3</v>
      </c>
      <c r="AE152" s="288"/>
      <c r="AF152" s="111"/>
      <c r="AG152" s="111"/>
      <c r="AH152" s="111"/>
      <c r="AI152" s="111"/>
      <c r="AJ152" s="111"/>
      <c r="AK152" s="111"/>
      <c r="AL152" s="111"/>
      <c r="AM152" s="111"/>
      <c r="AN152" s="111"/>
      <c r="AO152" s="111"/>
      <c r="AP152" s="111"/>
      <c r="AQ152" s="111"/>
      <c r="AR152" s="111"/>
      <c r="AS152" s="108" t="s">
        <v>431</v>
      </c>
      <c r="AT152" s="108" t="s">
        <v>431</v>
      </c>
      <c r="AU152" s="810"/>
    </row>
    <row r="153" spans="1:54" s="1" customFormat="1" ht="75" customHeight="1" thickBot="1">
      <c r="A153" s="779"/>
      <c r="B153" s="746"/>
      <c r="C153" s="746"/>
      <c r="D153" s="746"/>
      <c r="E153" s="746"/>
      <c r="F153" s="746"/>
      <c r="G153" s="746"/>
      <c r="H153" s="746"/>
      <c r="I153" s="746"/>
      <c r="J153" s="746"/>
      <c r="K153" s="746"/>
      <c r="L153" s="724"/>
      <c r="M153" s="724"/>
      <c r="N153" s="116"/>
      <c r="O153" s="115" t="s">
        <v>250</v>
      </c>
      <c r="P153" s="424" t="s">
        <v>739</v>
      </c>
      <c r="Q153" s="424" t="s">
        <v>17</v>
      </c>
      <c r="R153" s="424">
        <v>4</v>
      </c>
      <c r="S153" s="424">
        <v>1</v>
      </c>
      <c r="T153" s="424">
        <v>1</v>
      </c>
      <c r="U153" s="424">
        <v>1</v>
      </c>
      <c r="V153" s="479">
        <v>1</v>
      </c>
      <c r="W153" s="888"/>
      <c r="X153" s="731"/>
      <c r="Y153" s="733"/>
      <c r="Z153" s="733"/>
      <c r="AA153" s="498">
        <v>1</v>
      </c>
      <c r="AB153" s="76">
        <v>1</v>
      </c>
      <c r="AC153" s="76">
        <v>1</v>
      </c>
      <c r="AD153" s="389">
        <v>1</v>
      </c>
      <c r="AE153" s="288"/>
      <c r="AF153" s="111"/>
      <c r="AG153" s="111"/>
      <c r="AH153" s="111"/>
      <c r="AI153" s="111"/>
      <c r="AJ153" s="111"/>
      <c r="AK153" s="111"/>
      <c r="AL153" s="111"/>
      <c r="AM153" s="111"/>
      <c r="AN153" s="111"/>
      <c r="AO153" s="111"/>
      <c r="AP153" s="111"/>
      <c r="AQ153" s="111"/>
      <c r="AR153" s="111"/>
      <c r="AS153" s="108" t="s">
        <v>431</v>
      </c>
      <c r="AT153" s="108" t="s">
        <v>431</v>
      </c>
      <c r="AU153" s="811"/>
    </row>
    <row r="154" spans="1:54" s="1" customFormat="1" ht="97.5" customHeight="1" thickBot="1">
      <c r="A154" s="774" t="s">
        <v>251</v>
      </c>
      <c r="B154" s="715" t="s">
        <v>252</v>
      </c>
      <c r="C154" s="715" t="s">
        <v>253</v>
      </c>
      <c r="D154" s="715" t="s">
        <v>254</v>
      </c>
      <c r="E154" s="118" t="s">
        <v>255</v>
      </c>
      <c r="F154" s="118" t="s">
        <v>17</v>
      </c>
      <c r="G154" s="118">
        <v>3</v>
      </c>
      <c r="H154" s="118">
        <v>9</v>
      </c>
      <c r="I154" s="715" t="s">
        <v>257</v>
      </c>
      <c r="J154" s="715" t="s">
        <v>258</v>
      </c>
      <c r="K154" s="715" t="s">
        <v>259</v>
      </c>
      <c r="L154" s="721">
        <v>2</v>
      </c>
      <c r="M154" s="721">
        <v>7</v>
      </c>
      <c r="N154" s="119"/>
      <c r="O154" s="715" t="s">
        <v>260</v>
      </c>
      <c r="P154" s="424" t="s">
        <v>563</v>
      </c>
      <c r="Q154" s="424" t="s">
        <v>452</v>
      </c>
      <c r="R154" s="424">
        <v>4</v>
      </c>
      <c r="S154" s="424">
        <v>1</v>
      </c>
      <c r="T154" s="424">
        <v>1</v>
      </c>
      <c r="U154" s="424">
        <v>1</v>
      </c>
      <c r="V154" s="480">
        <v>1</v>
      </c>
      <c r="W154" s="718" t="s">
        <v>761</v>
      </c>
      <c r="X154" s="705"/>
      <c r="Y154" s="725">
        <v>252052566</v>
      </c>
      <c r="Z154" s="725">
        <f>+Y154</f>
        <v>252052566</v>
      </c>
      <c r="AA154" s="498">
        <v>1</v>
      </c>
      <c r="AB154" s="658"/>
      <c r="AC154" s="389">
        <v>1</v>
      </c>
      <c r="AD154" s="389">
        <v>1</v>
      </c>
      <c r="AE154" s="288"/>
      <c r="AF154" s="128"/>
      <c r="AG154" s="128"/>
      <c r="AH154" s="250"/>
      <c r="AI154" s="250"/>
      <c r="AJ154" s="250"/>
      <c r="AK154" s="250"/>
      <c r="AL154" s="250"/>
      <c r="AM154" s="250"/>
      <c r="AN154" s="250"/>
      <c r="AO154" s="250"/>
      <c r="AP154" s="250"/>
      <c r="AQ154" s="250"/>
      <c r="AR154" s="250"/>
      <c r="AS154" s="118" t="s">
        <v>342</v>
      </c>
      <c r="AT154" s="118" t="s">
        <v>342</v>
      </c>
      <c r="AU154" s="809" t="s">
        <v>337</v>
      </c>
    </row>
    <row r="155" spans="1:54" s="1" customFormat="1" ht="97.5" customHeight="1" thickBot="1">
      <c r="A155" s="775"/>
      <c r="B155" s="716"/>
      <c r="C155" s="716"/>
      <c r="D155" s="716"/>
      <c r="E155" s="122"/>
      <c r="F155" s="122"/>
      <c r="G155" s="122"/>
      <c r="H155" s="122"/>
      <c r="I155" s="716"/>
      <c r="J155" s="716"/>
      <c r="K155" s="716"/>
      <c r="L155" s="722"/>
      <c r="M155" s="722"/>
      <c r="N155" s="481"/>
      <c r="O155" s="716"/>
      <c r="P155" s="424" t="s">
        <v>914</v>
      </c>
      <c r="Q155" s="424" t="s">
        <v>452</v>
      </c>
      <c r="R155" s="424">
        <v>2</v>
      </c>
      <c r="S155" s="424">
        <v>0</v>
      </c>
      <c r="T155" s="424">
        <v>0</v>
      </c>
      <c r="U155" s="424">
        <v>1</v>
      </c>
      <c r="V155" s="480">
        <v>1</v>
      </c>
      <c r="W155" s="719"/>
      <c r="X155" s="706"/>
      <c r="Y155" s="726"/>
      <c r="Z155" s="726"/>
      <c r="AA155" s="498">
        <v>0</v>
      </c>
      <c r="AB155" s="498">
        <v>0</v>
      </c>
      <c r="AC155" s="389">
        <v>1</v>
      </c>
      <c r="AD155" s="389">
        <v>1</v>
      </c>
      <c r="AE155" s="288"/>
      <c r="AF155" s="128"/>
      <c r="AG155" s="128"/>
      <c r="AH155" s="250"/>
      <c r="AI155" s="250"/>
      <c r="AJ155" s="250"/>
      <c r="AK155" s="250"/>
      <c r="AL155" s="250"/>
      <c r="AM155" s="250"/>
      <c r="AN155" s="250"/>
      <c r="AO155" s="250"/>
      <c r="AP155" s="250"/>
      <c r="AQ155" s="250"/>
      <c r="AR155" s="250"/>
      <c r="AS155" s="118"/>
      <c r="AT155" s="118"/>
      <c r="AU155" s="810"/>
    </row>
    <row r="156" spans="1:54" s="1" customFormat="1" ht="108" customHeight="1" thickBot="1">
      <c r="A156" s="775"/>
      <c r="B156" s="716"/>
      <c r="C156" s="717"/>
      <c r="D156" s="717"/>
      <c r="E156" s="122" t="s">
        <v>256</v>
      </c>
      <c r="F156" s="123" t="s">
        <v>17</v>
      </c>
      <c r="G156" s="123" t="s">
        <v>51</v>
      </c>
      <c r="H156" s="123">
        <v>6</v>
      </c>
      <c r="I156" s="717"/>
      <c r="J156" s="717"/>
      <c r="K156" s="717"/>
      <c r="L156" s="723"/>
      <c r="M156" s="723"/>
      <c r="N156" s="124"/>
      <c r="O156" s="717"/>
      <c r="P156" s="424" t="s">
        <v>913</v>
      </c>
      <c r="Q156" s="424" t="s">
        <v>452</v>
      </c>
      <c r="R156" s="424">
        <v>2</v>
      </c>
      <c r="S156" s="424">
        <v>0</v>
      </c>
      <c r="T156" s="424">
        <v>0</v>
      </c>
      <c r="U156" s="424">
        <v>1</v>
      </c>
      <c r="V156" s="480">
        <v>1</v>
      </c>
      <c r="W156" s="720"/>
      <c r="X156" s="707"/>
      <c r="Y156" s="726"/>
      <c r="Z156" s="726"/>
      <c r="AA156" s="498">
        <v>0</v>
      </c>
      <c r="AB156" s="498">
        <v>0</v>
      </c>
      <c r="AC156" s="389">
        <v>1</v>
      </c>
      <c r="AD156" s="389">
        <v>1</v>
      </c>
      <c r="AE156" s="288"/>
      <c r="AF156" s="128"/>
      <c r="AG156" s="128"/>
      <c r="AH156" s="250"/>
      <c r="AI156" s="250"/>
      <c r="AJ156" s="250"/>
      <c r="AK156" s="250"/>
      <c r="AL156" s="250"/>
      <c r="AM156" s="250"/>
      <c r="AN156" s="250"/>
      <c r="AO156" s="250"/>
      <c r="AP156" s="250"/>
      <c r="AQ156" s="250"/>
      <c r="AR156" s="250"/>
      <c r="AS156" s="118" t="s">
        <v>342</v>
      </c>
      <c r="AT156" s="118" t="s">
        <v>342</v>
      </c>
      <c r="AU156" s="810"/>
      <c r="AW156" s="1">
        <v>1020100</v>
      </c>
      <c r="AY156" s="1">
        <v>89838668.807999998</v>
      </c>
      <c r="AZ156" s="1">
        <f>+AY156/2</f>
        <v>44919334.403999999</v>
      </c>
      <c r="BB156" s="1">
        <v>44919334.403999999</v>
      </c>
    </row>
    <row r="157" spans="1:54" s="1" customFormat="1" ht="143.25" customHeight="1" thickBot="1">
      <c r="A157" s="775"/>
      <c r="B157" s="716"/>
      <c r="C157" s="758" t="s">
        <v>319</v>
      </c>
      <c r="D157" s="758" t="s">
        <v>261</v>
      </c>
      <c r="E157" s="758" t="s">
        <v>262</v>
      </c>
      <c r="F157" s="758" t="s">
        <v>18</v>
      </c>
      <c r="G157" s="758" t="s">
        <v>51</v>
      </c>
      <c r="H157" s="758">
        <v>30</v>
      </c>
      <c r="I157" s="758" t="s">
        <v>263</v>
      </c>
      <c r="J157" s="129" t="s">
        <v>264</v>
      </c>
      <c r="K157" s="129" t="s">
        <v>17</v>
      </c>
      <c r="L157" s="126">
        <v>2</v>
      </c>
      <c r="M157" s="126">
        <v>3</v>
      </c>
      <c r="N157" s="124"/>
      <c r="O157" s="758" t="s">
        <v>266</v>
      </c>
      <c r="P157" s="424" t="s">
        <v>850</v>
      </c>
      <c r="Q157" s="424" t="s">
        <v>452</v>
      </c>
      <c r="R157" s="424">
        <v>1</v>
      </c>
      <c r="S157" s="424">
        <v>0</v>
      </c>
      <c r="T157" s="424">
        <v>1</v>
      </c>
      <c r="U157" s="424">
        <v>0</v>
      </c>
      <c r="V157" s="410">
        <v>0</v>
      </c>
      <c r="W157" s="444">
        <v>0</v>
      </c>
      <c r="X157" s="445"/>
      <c r="Y157" s="726"/>
      <c r="Z157" s="726"/>
      <c r="AA157" s="498">
        <v>0</v>
      </c>
      <c r="AB157" s="388">
        <v>1</v>
      </c>
      <c r="AC157" s="389">
        <v>0</v>
      </c>
      <c r="AD157" s="389">
        <v>0</v>
      </c>
      <c r="AE157" s="288"/>
      <c r="AF157" s="128"/>
      <c r="AG157" s="128"/>
      <c r="AH157" s="250"/>
      <c r="AI157" s="250"/>
      <c r="AJ157" s="250"/>
      <c r="AK157" s="250"/>
      <c r="AL157" s="250"/>
      <c r="AM157" s="250"/>
      <c r="AN157" s="250"/>
      <c r="AO157" s="250"/>
      <c r="AP157" s="250"/>
      <c r="AQ157" s="250"/>
      <c r="AR157" s="250"/>
      <c r="AS157" s="118" t="s">
        <v>342</v>
      </c>
      <c r="AT157" s="118" t="s">
        <v>342</v>
      </c>
      <c r="AU157" s="810"/>
    </row>
    <row r="158" spans="1:54" s="1" customFormat="1" ht="77.25" customHeight="1" thickBot="1">
      <c r="A158" s="776"/>
      <c r="B158" s="759"/>
      <c r="C158" s="759"/>
      <c r="D158" s="759"/>
      <c r="E158" s="759"/>
      <c r="F158" s="759"/>
      <c r="G158" s="759"/>
      <c r="H158" s="759"/>
      <c r="I158" s="759"/>
      <c r="J158" s="130" t="s">
        <v>265</v>
      </c>
      <c r="K158" s="130" t="s">
        <v>18</v>
      </c>
      <c r="L158" s="130">
        <v>80</v>
      </c>
      <c r="M158" s="130">
        <v>90</v>
      </c>
      <c r="N158" s="132"/>
      <c r="O158" s="759"/>
      <c r="P158" s="424" t="s">
        <v>851</v>
      </c>
      <c r="Q158" s="424" t="s">
        <v>17</v>
      </c>
      <c r="R158" s="424">
        <v>1</v>
      </c>
      <c r="S158" s="424">
        <v>0</v>
      </c>
      <c r="T158" s="424">
        <v>0</v>
      </c>
      <c r="U158" s="424">
        <v>0</v>
      </c>
      <c r="V158" s="410">
        <v>1</v>
      </c>
      <c r="W158" s="446">
        <v>0</v>
      </c>
      <c r="X158" s="447"/>
      <c r="Y158" s="727"/>
      <c r="Z158" s="727"/>
      <c r="AA158" s="498">
        <v>0</v>
      </c>
      <c r="AB158" s="388">
        <v>0</v>
      </c>
      <c r="AC158" s="389">
        <v>0</v>
      </c>
      <c r="AD158" s="389">
        <v>1</v>
      </c>
      <c r="AE158" s="288"/>
      <c r="AF158" s="128"/>
      <c r="AG158" s="128"/>
      <c r="AH158" s="250"/>
      <c r="AI158" s="250"/>
      <c r="AJ158" s="250"/>
      <c r="AK158" s="250"/>
      <c r="AL158" s="250"/>
      <c r="AM158" s="250"/>
      <c r="AN158" s="250"/>
      <c r="AO158" s="250"/>
      <c r="AP158" s="250"/>
      <c r="AQ158" s="250"/>
      <c r="AR158" s="250"/>
      <c r="AS158" s="118" t="s">
        <v>342</v>
      </c>
      <c r="AT158" s="118" t="s">
        <v>342</v>
      </c>
      <c r="AU158" s="811"/>
    </row>
    <row r="159" spans="1:54" s="1" customFormat="1" ht="114.75" customHeight="1" thickBot="1">
      <c r="A159" s="761" t="s">
        <v>785</v>
      </c>
      <c r="B159" s="752" t="s">
        <v>787</v>
      </c>
      <c r="C159" s="752" t="s">
        <v>786</v>
      </c>
      <c r="D159" s="752"/>
      <c r="E159" s="752"/>
      <c r="F159" s="752"/>
      <c r="G159" s="752"/>
      <c r="H159" s="752"/>
      <c r="I159" s="752"/>
      <c r="J159" s="752" t="s">
        <v>741</v>
      </c>
      <c r="K159" s="752"/>
      <c r="L159" s="735"/>
      <c r="M159" s="735"/>
      <c r="N159" s="137"/>
      <c r="O159" s="892" t="s">
        <v>273</v>
      </c>
      <c r="P159" s="424" t="s">
        <v>740</v>
      </c>
      <c r="Q159" s="424" t="s">
        <v>17</v>
      </c>
      <c r="R159" s="424">
        <v>1</v>
      </c>
      <c r="S159" s="424">
        <v>1</v>
      </c>
      <c r="T159" s="424">
        <v>0</v>
      </c>
      <c r="U159" s="424">
        <v>0</v>
      </c>
      <c r="V159" s="428">
        <v>0</v>
      </c>
      <c r="W159" s="718" t="s">
        <v>763</v>
      </c>
      <c r="X159" s="705"/>
      <c r="Y159" s="732">
        <f>84000000+308400000</f>
        <v>392400000</v>
      </c>
      <c r="Z159" s="732">
        <f>+Y159</f>
        <v>392400000</v>
      </c>
      <c r="AA159" s="498">
        <v>1</v>
      </c>
      <c r="AB159" s="389">
        <v>1</v>
      </c>
      <c r="AC159" s="76">
        <v>1</v>
      </c>
      <c r="AD159" s="498">
        <v>0</v>
      </c>
      <c r="AE159" s="288"/>
      <c r="AF159" s="78"/>
      <c r="AG159" s="78"/>
      <c r="AH159" s="221"/>
      <c r="AI159" s="221"/>
      <c r="AJ159" s="221"/>
      <c r="AK159" s="221"/>
      <c r="AL159" s="221"/>
      <c r="AM159" s="221"/>
      <c r="AN159" s="221"/>
      <c r="AO159" s="221"/>
      <c r="AP159" s="221"/>
      <c r="AQ159" s="221"/>
      <c r="AR159" s="221"/>
      <c r="AS159" s="71" t="s">
        <v>460</v>
      </c>
      <c r="AT159" s="71" t="s">
        <v>460</v>
      </c>
      <c r="AU159" s="810"/>
    </row>
    <row r="160" spans="1:54" s="1" customFormat="1" ht="114.75" customHeight="1" thickBot="1">
      <c r="A160" s="761"/>
      <c r="B160" s="752"/>
      <c r="C160" s="752"/>
      <c r="D160" s="752"/>
      <c r="E160" s="752"/>
      <c r="F160" s="752"/>
      <c r="G160" s="752"/>
      <c r="H160" s="752"/>
      <c r="I160" s="752"/>
      <c r="J160" s="752"/>
      <c r="K160" s="752"/>
      <c r="L160" s="735"/>
      <c r="M160" s="735"/>
      <c r="N160" s="137"/>
      <c r="O160" s="892"/>
      <c r="P160" s="424" t="s">
        <v>742</v>
      </c>
      <c r="Q160" s="641" t="s">
        <v>18</v>
      </c>
      <c r="R160" s="641">
        <v>1</v>
      </c>
      <c r="S160" s="641">
        <v>25</v>
      </c>
      <c r="T160" s="641">
        <v>25</v>
      </c>
      <c r="U160" s="641">
        <v>25</v>
      </c>
      <c r="V160" s="507">
        <v>25</v>
      </c>
      <c r="W160" s="719"/>
      <c r="X160" s="706"/>
      <c r="Y160" s="726"/>
      <c r="Z160" s="726"/>
      <c r="AA160" s="642">
        <v>25</v>
      </c>
      <c r="AB160" s="661">
        <v>25</v>
      </c>
      <c r="AC160" s="76">
        <v>25</v>
      </c>
      <c r="AD160" s="498">
        <v>25</v>
      </c>
      <c r="AE160" s="288"/>
      <c r="AF160" s="78"/>
      <c r="AG160" s="78"/>
      <c r="AH160" s="221"/>
      <c r="AI160" s="221"/>
      <c r="AJ160" s="221"/>
      <c r="AK160" s="221"/>
      <c r="AL160" s="221"/>
      <c r="AM160" s="221"/>
      <c r="AN160" s="221"/>
      <c r="AO160" s="221"/>
      <c r="AP160" s="221"/>
      <c r="AQ160" s="221"/>
      <c r="AR160" s="221"/>
      <c r="AS160" s="71" t="s">
        <v>460</v>
      </c>
      <c r="AT160" s="71" t="s">
        <v>460</v>
      </c>
      <c r="AU160" s="810"/>
    </row>
    <row r="161" spans="1:53" s="1" customFormat="1" ht="114.75" customHeight="1" thickBot="1">
      <c r="A161" s="761"/>
      <c r="B161" s="752"/>
      <c r="C161" s="752"/>
      <c r="D161" s="752"/>
      <c r="E161" s="752"/>
      <c r="F161" s="752"/>
      <c r="G161" s="752"/>
      <c r="H161" s="752"/>
      <c r="I161" s="752"/>
      <c r="J161" s="752"/>
      <c r="K161" s="752"/>
      <c r="L161" s="735"/>
      <c r="M161" s="735"/>
      <c r="N161" s="137"/>
      <c r="O161" s="750" t="s">
        <v>274</v>
      </c>
      <c r="P161" s="424" t="s">
        <v>371</v>
      </c>
      <c r="Q161" s="424" t="s">
        <v>452</v>
      </c>
      <c r="R161" s="424">
        <v>1</v>
      </c>
      <c r="S161" s="424">
        <v>0</v>
      </c>
      <c r="T161" s="424">
        <v>0</v>
      </c>
      <c r="U161" s="424">
        <v>0</v>
      </c>
      <c r="V161" s="410">
        <v>1</v>
      </c>
      <c r="W161" s="719"/>
      <c r="X161" s="706"/>
      <c r="Y161" s="726"/>
      <c r="Z161" s="726"/>
      <c r="AA161" s="76">
        <v>0</v>
      </c>
      <c r="AB161" s="76">
        <v>0</v>
      </c>
      <c r="AC161" s="76">
        <v>0</v>
      </c>
      <c r="AD161" s="498">
        <v>1</v>
      </c>
      <c r="AE161" s="288"/>
      <c r="AF161" s="78"/>
      <c r="AG161" s="78"/>
      <c r="AH161" s="221"/>
      <c r="AI161" s="221"/>
      <c r="AJ161" s="221"/>
      <c r="AK161" s="221"/>
      <c r="AL161" s="221"/>
      <c r="AM161" s="221"/>
      <c r="AN161" s="221"/>
      <c r="AO161" s="221"/>
      <c r="AP161" s="221"/>
      <c r="AQ161" s="221"/>
      <c r="AR161" s="221"/>
      <c r="AS161" s="71" t="s">
        <v>460</v>
      </c>
      <c r="AT161" s="71" t="s">
        <v>460</v>
      </c>
      <c r="AU161" s="810"/>
    </row>
    <row r="162" spans="1:53" s="1" customFormat="1" ht="114.75" customHeight="1" thickBot="1">
      <c r="A162" s="761"/>
      <c r="B162" s="752"/>
      <c r="C162" s="752"/>
      <c r="D162" s="752"/>
      <c r="E162" s="752"/>
      <c r="F162" s="752"/>
      <c r="G162" s="752"/>
      <c r="H162" s="752"/>
      <c r="I162" s="752"/>
      <c r="J162" s="753"/>
      <c r="K162" s="753"/>
      <c r="L162" s="755"/>
      <c r="M162" s="755"/>
      <c r="N162" s="137"/>
      <c r="O162" s="751"/>
      <c r="P162" s="424" t="s">
        <v>852</v>
      </c>
      <c r="Q162" s="424" t="s">
        <v>452</v>
      </c>
      <c r="R162" s="424">
        <v>1</v>
      </c>
      <c r="S162" s="424">
        <v>0</v>
      </c>
      <c r="T162" s="424">
        <v>1</v>
      </c>
      <c r="U162" s="424">
        <v>0</v>
      </c>
      <c r="V162" s="410">
        <v>0</v>
      </c>
      <c r="W162" s="719"/>
      <c r="X162" s="706"/>
      <c r="Y162" s="726"/>
      <c r="Z162" s="726"/>
      <c r="AA162" s="76">
        <v>0</v>
      </c>
      <c r="AB162" s="76">
        <v>0.25</v>
      </c>
      <c r="AC162" s="76">
        <v>0.5</v>
      </c>
      <c r="AD162" s="498">
        <v>0</v>
      </c>
      <c r="AE162" s="288"/>
      <c r="AF162" s="78"/>
      <c r="AG162" s="78"/>
      <c r="AH162" s="221"/>
      <c r="AI162" s="221"/>
      <c r="AJ162" s="221"/>
      <c r="AK162" s="221"/>
      <c r="AL162" s="221"/>
      <c r="AM162" s="221"/>
      <c r="AN162" s="221"/>
      <c r="AO162" s="221"/>
      <c r="AP162" s="221"/>
      <c r="AQ162" s="221"/>
      <c r="AR162" s="221"/>
      <c r="AS162" s="71" t="s">
        <v>460</v>
      </c>
      <c r="AT162" s="71" t="s">
        <v>460</v>
      </c>
      <c r="AU162" s="810"/>
    </row>
    <row r="163" spans="1:53" s="1" customFormat="1" ht="114.75" customHeight="1" thickBot="1">
      <c r="A163" s="761"/>
      <c r="B163" s="752"/>
      <c r="C163" s="752"/>
      <c r="D163" s="752"/>
      <c r="E163" s="752"/>
      <c r="F163" s="752"/>
      <c r="G163" s="752"/>
      <c r="H163" s="752"/>
      <c r="I163" s="752"/>
      <c r="J163" s="754" t="s">
        <v>271</v>
      </c>
      <c r="K163" s="754" t="s">
        <v>17</v>
      </c>
      <c r="L163" s="734" t="s">
        <v>51</v>
      </c>
      <c r="M163" s="734">
        <v>1</v>
      </c>
      <c r="N163" s="756"/>
      <c r="O163" s="734" t="s">
        <v>275</v>
      </c>
      <c r="P163" s="424" t="s">
        <v>853</v>
      </c>
      <c r="Q163" s="424" t="s">
        <v>17</v>
      </c>
      <c r="R163" s="424">
        <v>40</v>
      </c>
      <c r="S163" s="424">
        <v>0</v>
      </c>
      <c r="T163" s="424">
        <v>10</v>
      </c>
      <c r="U163" s="424">
        <v>10</v>
      </c>
      <c r="V163" s="410">
        <v>20</v>
      </c>
      <c r="W163" s="719"/>
      <c r="X163" s="706"/>
      <c r="Y163" s="726"/>
      <c r="Z163" s="726"/>
      <c r="AA163" s="76">
        <v>0</v>
      </c>
      <c r="AB163" s="76">
        <v>0</v>
      </c>
      <c r="AC163" s="76">
        <v>10</v>
      </c>
      <c r="AD163" s="498">
        <v>0</v>
      </c>
      <c r="AE163" s="288"/>
      <c r="AF163" s="78"/>
      <c r="AG163" s="78"/>
      <c r="AH163" s="221"/>
      <c r="AI163" s="221"/>
      <c r="AJ163" s="221"/>
      <c r="AK163" s="221"/>
      <c r="AL163" s="221"/>
      <c r="AM163" s="221"/>
      <c r="AN163" s="221"/>
      <c r="AO163" s="221"/>
      <c r="AP163" s="221"/>
      <c r="AQ163" s="221"/>
      <c r="AR163" s="221"/>
      <c r="AS163" s="71" t="s">
        <v>460</v>
      </c>
      <c r="AT163" s="71" t="s">
        <v>460</v>
      </c>
      <c r="AU163" s="810"/>
    </row>
    <row r="164" spans="1:53" s="1" customFormat="1" ht="114.75" customHeight="1" thickBot="1">
      <c r="A164" s="761"/>
      <c r="B164" s="752"/>
      <c r="C164" s="752"/>
      <c r="D164" s="752"/>
      <c r="E164" s="752"/>
      <c r="F164" s="752"/>
      <c r="G164" s="752"/>
      <c r="H164" s="752"/>
      <c r="I164" s="752"/>
      <c r="J164" s="752"/>
      <c r="K164" s="752"/>
      <c r="L164" s="735"/>
      <c r="M164" s="735"/>
      <c r="N164" s="757"/>
      <c r="O164" s="735"/>
      <c r="P164" s="424" t="s">
        <v>743</v>
      </c>
      <c r="Q164" s="424" t="s">
        <v>17</v>
      </c>
      <c r="R164" s="424">
        <v>1</v>
      </c>
      <c r="S164" s="424">
        <v>0</v>
      </c>
      <c r="T164" s="424">
        <v>0</v>
      </c>
      <c r="U164" s="424">
        <v>0</v>
      </c>
      <c r="V164" s="410">
        <v>1</v>
      </c>
      <c r="W164" s="719"/>
      <c r="X164" s="706"/>
      <c r="Y164" s="726"/>
      <c r="Z164" s="726"/>
      <c r="AA164" s="76">
        <v>0</v>
      </c>
      <c r="AB164" s="76">
        <v>0</v>
      </c>
      <c r="AC164" s="76">
        <v>0</v>
      </c>
      <c r="AD164" s="498">
        <v>0</v>
      </c>
      <c r="AE164" s="288"/>
      <c r="AF164" s="78"/>
      <c r="AG164" s="78"/>
      <c r="AH164" s="221"/>
      <c r="AI164" s="221"/>
      <c r="AJ164" s="221"/>
      <c r="AK164" s="221"/>
      <c r="AL164" s="221"/>
      <c r="AM164" s="221"/>
      <c r="AN164" s="221"/>
      <c r="AO164" s="221"/>
      <c r="AP164" s="221"/>
      <c r="AQ164" s="221"/>
      <c r="AR164" s="221"/>
      <c r="AS164" s="71" t="s">
        <v>460</v>
      </c>
      <c r="AT164" s="71" t="s">
        <v>460</v>
      </c>
      <c r="AU164" s="810"/>
    </row>
    <row r="165" spans="1:53" s="1" customFormat="1" ht="78" customHeight="1" thickBot="1">
      <c r="A165" s="761"/>
      <c r="B165" s="752"/>
      <c r="C165" s="752"/>
      <c r="D165" s="752"/>
      <c r="E165" s="752"/>
      <c r="F165" s="752"/>
      <c r="G165" s="752"/>
      <c r="H165" s="752"/>
      <c r="I165" s="752"/>
      <c r="J165" s="754" t="s">
        <v>272</v>
      </c>
      <c r="K165" s="754" t="s">
        <v>18</v>
      </c>
      <c r="L165" s="734">
        <v>100</v>
      </c>
      <c r="M165" s="734">
        <v>100</v>
      </c>
      <c r="N165" s="736"/>
      <c r="O165" s="754" t="s">
        <v>454</v>
      </c>
      <c r="P165" s="424" t="s">
        <v>744</v>
      </c>
      <c r="Q165" s="424" t="s">
        <v>17</v>
      </c>
      <c r="R165" s="424">
        <v>2</v>
      </c>
      <c r="S165" s="424">
        <v>1</v>
      </c>
      <c r="T165" s="424">
        <v>0</v>
      </c>
      <c r="U165" s="424">
        <v>1</v>
      </c>
      <c r="V165" s="410">
        <v>0</v>
      </c>
      <c r="W165" s="719"/>
      <c r="X165" s="706"/>
      <c r="Y165" s="726"/>
      <c r="Z165" s="726"/>
      <c r="AA165" s="498">
        <v>1</v>
      </c>
      <c r="AB165" s="389">
        <v>0</v>
      </c>
      <c r="AC165" s="389">
        <v>1</v>
      </c>
      <c r="AD165" s="498">
        <v>0</v>
      </c>
      <c r="AE165" s="288"/>
      <c r="AF165" s="78"/>
      <c r="AG165" s="78"/>
      <c r="AH165" s="221"/>
      <c r="AI165" s="221"/>
      <c r="AJ165" s="221"/>
      <c r="AK165" s="221"/>
      <c r="AL165" s="221"/>
      <c r="AM165" s="221"/>
      <c r="AN165" s="221"/>
      <c r="AO165" s="221"/>
      <c r="AP165" s="221"/>
      <c r="AQ165" s="221"/>
      <c r="AR165" s="221"/>
      <c r="AS165" s="71" t="s">
        <v>460</v>
      </c>
      <c r="AT165" s="71" t="s">
        <v>460</v>
      </c>
      <c r="AU165" s="810"/>
    </row>
    <row r="166" spans="1:53" s="1" customFormat="1" ht="52.5" customHeight="1" thickBot="1">
      <c r="A166" s="761"/>
      <c r="B166" s="752"/>
      <c r="C166" s="752"/>
      <c r="D166" s="752"/>
      <c r="E166" s="752"/>
      <c r="F166" s="752"/>
      <c r="G166" s="752"/>
      <c r="H166" s="752"/>
      <c r="I166" s="752"/>
      <c r="J166" s="752"/>
      <c r="K166" s="752"/>
      <c r="L166" s="735"/>
      <c r="M166" s="735"/>
      <c r="N166" s="736"/>
      <c r="O166" s="752"/>
      <c r="P166" s="424" t="s">
        <v>854</v>
      </c>
      <c r="Q166" s="424" t="s">
        <v>17</v>
      </c>
      <c r="R166" s="424">
        <v>2</v>
      </c>
      <c r="S166" s="424">
        <v>1</v>
      </c>
      <c r="T166" s="424">
        <v>0</v>
      </c>
      <c r="U166" s="424">
        <v>1</v>
      </c>
      <c r="V166" s="410">
        <v>0</v>
      </c>
      <c r="W166" s="719"/>
      <c r="X166" s="706"/>
      <c r="Y166" s="726"/>
      <c r="Z166" s="726"/>
      <c r="AA166" s="498">
        <v>1</v>
      </c>
      <c r="AB166" s="389">
        <v>0</v>
      </c>
      <c r="AC166" s="389">
        <v>1</v>
      </c>
      <c r="AD166" s="498">
        <v>0</v>
      </c>
      <c r="AE166" s="288"/>
      <c r="AF166" s="78"/>
      <c r="AG166" s="78"/>
      <c r="AH166" s="221"/>
      <c r="AI166" s="221"/>
      <c r="AJ166" s="221"/>
      <c r="AK166" s="221"/>
      <c r="AL166" s="221"/>
      <c r="AM166" s="221"/>
      <c r="AN166" s="221"/>
      <c r="AO166" s="221"/>
      <c r="AP166" s="221"/>
      <c r="AQ166" s="221"/>
      <c r="AR166" s="221"/>
      <c r="AS166" s="71" t="s">
        <v>460</v>
      </c>
      <c r="AT166" s="71" t="s">
        <v>460</v>
      </c>
      <c r="AU166" s="810"/>
    </row>
    <row r="167" spans="1:53" s="1" customFormat="1" ht="52.5" customHeight="1" thickBot="1">
      <c r="A167" s="761"/>
      <c r="B167" s="752"/>
      <c r="C167" s="752"/>
      <c r="D167" s="752"/>
      <c r="E167" s="752"/>
      <c r="F167" s="752"/>
      <c r="G167" s="752"/>
      <c r="H167" s="752"/>
      <c r="I167" s="752"/>
      <c r="J167" s="752"/>
      <c r="K167" s="752"/>
      <c r="L167" s="735"/>
      <c r="M167" s="735"/>
      <c r="N167" s="736"/>
      <c r="O167" s="752"/>
      <c r="P167" s="424" t="s">
        <v>376</v>
      </c>
      <c r="Q167" s="424" t="s">
        <v>17</v>
      </c>
      <c r="R167" s="424">
        <v>1</v>
      </c>
      <c r="S167" s="424">
        <v>0</v>
      </c>
      <c r="T167" s="424">
        <v>0</v>
      </c>
      <c r="U167" s="424">
        <v>1</v>
      </c>
      <c r="V167" s="410">
        <v>0</v>
      </c>
      <c r="W167" s="719"/>
      <c r="X167" s="706"/>
      <c r="Y167" s="726"/>
      <c r="Z167" s="726"/>
      <c r="AA167" s="498">
        <v>0</v>
      </c>
      <c r="AB167" s="389">
        <v>0</v>
      </c>
      <c r="AC167" s="389">
        <v>0</v>
      </c>
      <c r="AD167" s="498">
        <v>0</v>
      </c>
      <c r="AE167" s="288"/>
      <c r="AF167" s="78"/>
      <c r="AG167" s="78"/>
      <c r="AH167" s="221"/>
      <c r="AI167" s="221"/>
      <c r="AJ167" s="221"/>
      <c r="AK167" s="221"/>
      <c r="AL167" s="221"/>
      <c r="AM167" s="221"/>
      <c r="AN167" s="221"/>
      <c r="AO167" s="221"/>
      <c r="AP167" s="221"/>
      <c r="AQ167" s="221"/>
      <c r="AR167" s="221"/>
      <c r="AS167" s="71" t="s">
        <v>460</v>
      </c>
      <c r="AT167" s="71" t="s">
        <v>460</v>
      </c>
      <c r="AU167" s="810"/>
    </row>
    <row r="168" spans="1:53" s="1" customFormat="1" ht="52.5" customHeight="1" thickBot="1">
      <c r="A168" s="761"/>
      <c r="B168" s="752"/>
      <c r="C168" s="752"/>
      <c r="D168" s="752"/>
      <c r="E168" s="752"/>
      <c r="F168" s="752"/>
      <c r="G168" s="752"/>
      <c r="H168" s="752"/>
      <c r="I168" s="752"/>
      <c r="J168" s="752"/>
      <c r="K168" s="752"/>
      <c r="L168" s="735"/>
      <c r="M168" s="735"/>
      <c r="N168" s="736"/>
      <c r="O168" s="752"/>
      <c r="P168" s="424" t="s">
        <v>375</v>
      </c>
      <c r="Q168" s="424" t="s">
        <v>17</v>
      </c>
      <c r="R168" s="424">
        <v>2</v>
      </c>
      <c r="S168" s="424">
        <v>0</v>
      </c>
      <c r="T168" s="424">
        <v>1</v>
      </c>
      <c r="U168" s="424">
        <v>0</v>
      </c>
      <c r="V168" s="410">
        <v>1</v>
      </c>
      <c r="W168" s="719"/>
      <c r="X168" s="706"/>
      <c r="Y168" s="726"/>
      <c r="Z168" s="726"/>
      <c r="AA168" s="498">
        <v>0</v>
      </c>
      <c r="AB168" s="389">
        <v>0</v>
      </c>
      <c r="AC168" s="389">
        <v>0</v>
      </c>
      <c r="AD168" s="498">
        <v>1</v>
      </c>
      <c r="AE168" s="288"/>
      <c r="AF168" s="78"/>
      <c r="AG168" s="78"/>
      <c r="AH168" s="221"/>
      <c r="AI168" s="221"/>
      <c r="AJ168" s="221"/>
      <c r="AK168" s="221"/>
      <c r="AL168" s="221"/>
      <c r="AM168" s="221"/>
      <c r="AN168" s="221"/>
      <c r="AO168" s="221"/>
      <c r="AP168" s="221"/>
      <c r="AQ168" s="221"/>
      <c r="AR168" s="221"/>
      <c r="AS168" s="71" t="s">
        <v>460</v>
      </c>
      <c r="AT168" s="71" t="s">
        <v>460</v>
      </c>
      <c r="AU168" s="810"/>
    </row>
    <row r="169" spans="1:53" s="1" customFormat="1" ht="97.5" customHeight="1" thickBot="1">
      <c r="A169" s="761"/>
      <c r="B169" s="752"/>
      <c r="C169" s="752"/>
      <c r="D169" s="752"/>
      <c r="E169" s="752"/>
      <c r="F169" s="752"/>
      <c r="G169" s="752"/>
      <c r="H169" s="752"/>
      <c r="I169" s="752"/>
      <c r="J169" s="752"/>
      <c r="K169" s="752"/>
      <c r="L169" s="735"/>
      <c r="M169" s="735"/>
      <c r="N169" s="736"/>
      <c r="O169" s="766"/>
      <c r="P169" s="424" t="s">
        <v>456</v>
      </c>
      <c r="Q169" s="424" t="s">
        <v>17</v>
      </c>
      <c r="R169" s="424">
        <v>1</v>
      </c>
      <c r="S169" s="424">
        <v>1</v>
      </c>
      <c r="T169" s="424">
        <v>0</v>
      </c>
      <c r="U169" s="424">
        <v>0</v>
      </c>
      <c r="V169" s="410">
        <v>0</v>
      </c>
      <c r="W169" s="719"/>
      <c r="X169" s="706"/>
      <c r="Y169" s="726"/>
      <c r="Z169" s="726"/>
      <c r="AA169" s="388">
        <v>1</v>
      </c>
      <c r="AB169" s="389">
        <v>0</v>
      </c>
      <c r="AC169" s="389">
        <v>0</v>
      </c>
      <c r="AD169" s="498">
        <v>0</v>
      </c>
      <c r="AE169" s="288"/>
      <c r="AF169" s="78"/>
      <c r="AG169" s="78"/>
      <c r="AH169" s="221"/>
      <c r="AI169" s="221"/>
      <c r="AJ169" s="221"/>
      <c r="AK169" s="221"/>
      <c r="AL169" s="221"/>
      <c r="AM169" s="221"/>
      <c r="AN169" s="221"/>
      <c r="AO169" s="221"/>
      <c r="AP169" s="221"/>
      <c r="AQ169" s="221"/>
      <c r="AR169" s="221"/>
      <c r="AS169" s="71" t="s">
        <v>460</v>
      </c>
      <c r="AT169" s="71" t="s">
        <v>460</v>
      </c>
      <c r="AU169" s="810"/>
    </row>
    <row r="170" spans="1:53" s="1" customFormat="1" ht="97.5" customHeight="1" thickBot="1">
      <c r="A170" s="761"/>
      <c r="B170" s="752"/>
      <c r="C170" s="752"/>
      <c r="D170" s="752"/>
      <c r="E170" s="752"/>
      <c r="F170" s="752"/>
      <c r="G170" s="752"/>
      <c r="H170" s="752"/>
      <c r="I170" s="752"/>
      <c r="J170" s="752"/>
      <c r="K170" s="752"/>
      <c r="L170" s="735"/>
      <c r="M170" s="735"/>
      <c r="N170" s="181"/>
      <c r="O170" s="765" t="s">
        <v>455</v>
      </c>
      <c r="P170" s="424" t="s">
        <v>745</v>
      </c>
      <c r="Q170" s="424" t="s">
        <v>17</v>
      </c>
      <c r="R170" s="424">
        <v>2</v>
      </c>
      <c r="S170" s="424">
        <v>0</v>
      </c>
      <c r="T170" s="424">
        <v>1</v>
      </c>
      <c r="U170" s="424">
        <v>0</v>
      </c>
      <c r="V170" s="410">
        <v>1</v>
      </c>
      <c r="W170" s="719"/>
      <c r="X170" s="706"/>
      <c r="Y170" s="726"/>
      <c r="Z170" s="726"/>
      <c r="AA170" s="498">
        <v>0</v>
      </c>
      <c r="AB170" s="389">
        <v>0</v>
      </c>
      <c r="AC170" s="389">
        <v>1</v>
      </c>
      <c r="AD170" s="498">
        <v>1</v>
      </c>
      <c r="AE170" s="288"/>
      <c r="AF170" s="78"/>
      <c r="AG170" s="78"/>
      <c r="AH170" s="221"/>
      <c r="AI170" s="221"/>
      <c r="AJ170" s="221"/>
      <c r="AK170" s="221"/>
      <c r="AL170" s="221"/>
      <c r="AM170" s="221"/>
      <c r="AN170" s="221"/>
      <c r="AO170" s="221"/>
      <c r="AP170" s="221"/>
      <c r="AQ170" s="221"/>
      <c r="AR170" s="221"/>
      <c r="AS170" s="71" t="s">
        <v>460</v>
      </c>
      <c r="AT170" s="71" t="s">
        <v>460</v>
      </c>
      <c r="AU170" s="810"/>
    </row>
    <row r="171" spans="1:53" s="1" customFormat="1" ht="97.5" customHeight="1" thickBot="1">
      <c r="A171" s="761"/>
      <c r="B171" s="752"/>
      <c r="C171" s="752"/>
      <c r="D171" s="752"/>
      <c r="E171" s="752"/>
      <c r="F171" s="752"/>
      <c r="G171" s="752"/>
      <c r="H171" s="752"/>
      <c r="I171" s="752"/>
      <c r="J171" s="752"/>
      <c r="K171" s="752"/>
      <c r="L171" s="735"/>
      <c r="M171" s="735"/>
      <c r="N171" s="181"/>
      <c r="O171" s="752"/>
      <c r="P171" s="424" t="s">
        <v>855</v>
      </c>
      <c r="Q171" s="424" t="s">
        <v>452</v>
      </c>
      <c r="R171" s="424">
        <v>2</v>
      </c>
      <c r="S171" s="424">
        <v>0</v>
      </c>
      <c r="T171" s="424">
        <v>1</v>
      </c>
      <c r="U171" s="424">
        <v>0</v>
      </c>
      <c r="V171" s="410">
        <v>1</v>
      </c>
      <c r="W171" s="720"/>
      <c r="X171" s="731"/>
      <c r="Y171" s="733"/>
      <c r="Z171" s="733"/>
      <c r="AA171" s="498">
        <v>0</v>
      </c>
      <c r="AB171" s="389">
        <v>1</v>
      </c>
      <c r="AC171" s="389">
        <v>1</v>
      </c>
      <c r="AD171" s="498">
        <v>0</v>
      </c>
      <c r="AE171" s="288"/>
      <c r="AF171" s="78"/>
      <c r="AG171" s="78"/>
      <c r="AH171" s="221"/>
      <c r="AI171" s="221"/>
      <c r="AJ171" s="221"/>
      <c r="AK171" s="221"/>
      <c r="AL171" s="221"/>
      <c r="AM171" s="221"/>
      <c r="AN171" s="221"/>
      <c r="AO171" s="221"/>
      <c r="AP171" s="221"/>
      <c r="AQ171" s="221"/>
      <c r="AR171" s="221"/>
      <c r="AS171" s="71" t="s">
        <v>460</v>
      </c>
      <c r="AT171" s="71" t="s">
        <v>460</v>
      </c>
      <c r="AU171" s="810"/>
    </row>
    <row r="172" spans="1:53" s="1" customFormat="1" ht="152.25" customHeight="1" thickBot="1">
      <c r="A172" s="762" t="s">
        <v>276</v>
      </c>
      <c r="B172" s="767" t="s">
        <v>309</v>
      </c>
      <c r="C172" s="762" t="s">
        <v>321</v>
      </c>
      <c r="D172" s="767" t="s">
        <v>277</v>
      </c>
      <c r="E172" s="138" t="s">
        <v>283</v>
      </c>
      <c r="F172" s="138" t="s">
        <v>18</v>
      </c>
      <c r="G172" s="138" t="s">
        <v>51</v>
      </c>
      <c r="H172" s="138">
        <v>90</v>
      </c>
      <c r="I172" s="767" t="s">
        <v>282</v>
      </c>
      <c r="J172" s="139" t="s">
        <v>285</v>
      </c>
      <c r="K172" s="139" t="s">
        <v>18</v>
      </c>
      <c r="L172" s="140">
        <v>50</v>
      </c>
      <c r="M172" s="140">
        <v>100</v>
      </c>
      <c r="N172" s="141"/>
      <c r="O172" s="140" t="s">
        <v>287</v>
      </c>
      <c r="P172" s="424" t="s">
        <v>856</v>
      </c>
      <c r="Q172" s="424" t="s">
        <v>17</v>
      </c>
      <c r="R172" s="424">
        <v>24</v>
      </c>
      <c r="S172" s="424">
        <v>6</v>
      </c>
      <c r="T172" s="424">
        <v>6</v>
      </c>
      <c r="U172" s="424">
        <v>6</v>
      </c>
      <c r="V172" s="407">
        <v>6</v>
      </c>
      <c r="W172" s="740"/>
      <c r="X172" s="705"/>
      <c r="Y172" s="725">
        <f>305209126+174400000+94905072+121945507+46080963+46081013+1484042364</f>
        <v>2272664045</v>
      </c>
      <c r="Z172" s="725">
        <f>+Y172</f>
        <v>2272664045</v>
      </c>
      <c r="AA172" s="498">
        <v>6</v>
      </c>
      <c r="AB172" s="388">
        <v>6</v>
      </c>
      <c r="AC172" s="389">
        <v>6</v>
      </c>
      <c r="AD172" s="389">
        <v>6</v>
      </c>
      <c r="AE172" s="157"/>
      <c r="AF172" s="157"/>
      <c r="AG172" s="157"/>
      <c r="AH172" s="150"/>
      <c r="AI172" s="150"/>
      <c r="AJ172" s="150"/>
      <c r="AK172" s="150" t="s">
        <v>929</v>
      </c>
      <c r="AL172" s="150"/>
      <c r="AM172" s="150"/>
      <c r="AN172" s="150"/>
      <c r="AO172" s="150"/>
      <c r="AP172" s="150"/>
      <c r="AQ172" s="150"/>
      <c r="AR172" s="150"/>
      <c r="AS172" s="138" t="s">
        <v>432</v>
      </c>
      <c r="AT172" s="138" t="s">
        <v>432</v>
      </c>
      <c r="AU172" s="809" t="s">
        <v>340</v>
      </c>
      <c r="AX172" s="1">
        <v>222558546.06720001</v>
      </c>
      <c r="AY172" s="1">
        <v>135287790</v>
      </c>
      <c r="AZ172" s="1">
        <f>+AX172+AY172</f>
        <v>357846336.06720001</v>
      </c>
      <c r="BA172" s="1">
        <f>+AZ172/10</f>
        <v>35784633.606720001</v>
      </c>
    </row>
    <row r="173" spans="1:53" s="1" customFormat="1" ht="117" customHeight="1" thickBot="1">
      <c r="A173" s="763"/>
      <c r="B173" s="768"/>
      <c r="C173" s="770"/>
      <c r="D173" s="772"/>
      <c r="E173" s="144" t="s">
        <v>284</v>
      </c>
      <c r="F173" s="144" t="s">
        <v>18</v>
      </c>
      <c r="G173" s="144" t="s">
        <v>51</v>
      </c>
      <c r="H173" s="144">
        <v>86</v>
      </c>
      <c r="I173" s="772"/>
      <c r="J173" s="145" t="s">
        <v>286</v>
      </c>
      <c r="K173" s="145" t="s">
        <v>18</v>
      </c>
      <c r="L173" s="146">
        <v>50</v>
      </c>
      <c r="M173" s="146">
        <v>100</v>
      </c>
      <c r="N173" s="147"/>
      <c r="O173" s="146" t="s">
        <v>288</v>
      </c>
      <c r="P173" s="424" t="s">
        <v>746</v>
      </c>
      <c r="Q173" s="424" t="s">
        <v>436</v>
      </c>
      <c r="R173" s="424">
        <v>1</v>
      </c>
      <c r="S173" s="424">
        <v>0</v>
      </c>
      <c r="T173" s="424">
        <v>0</v>
      </c>
      <c r="U173" s="424">
        <v>1</v>
      </c>
      <c r="V173" s="407">
        <v>0</v>
      </c>
      <c r="W173" s="741"/>
      <c r="X173" s="706"/>
      <c r="Y173" s="726"/>
      <c r="Z173" s="726"/>
      <c r="AA173" s="498">
        <v>0</v>
      </c>
      <c r="AB173" s="388">
        <v>0</v>
      </c>
      <c r="AC173" s="389">
        <v>1</v>
      </c>
      <c r="AD173" s="389">
        <v>1</v>
      </c>
      <c r="AE173" s="157"/>
      <c r="AF173" s="157"/>
      <c r="AG173" s="157"/>
      <c r="AH173" s="150"/>
      <c r="AI173" s="150"/>
      <c r="AJ173" s="150"/>
      <c r="AK173" s="150" t="s">
        <v>930</v>
      </c>
      <c r="AL173" s="150"/>
      <c r="AM173" s="150"/>
      <c r="AN173" s="150"/>
      <c r="AO173" s="150"/>
      <c r="AP173" s="150"/>
      <c r="AQ173" s="150"/>
      <c r="AR173" s="150"/>
      <c r="AS173" s="138" t="s">
        <v>432</v>
      </c>
      <c r="AT173" s="138" t="s">
        <v>432</v>
      </c>
      <c r="AU173" s="810"/>
      <c r="BA173" s="1">
        <v>35784633.606720001</v>
      </c>
    </row>
    <row r="174" spans="1:53" s="1" customFormat="1" ht="111.75" customHeight="1" thickBot="1">
      <c r="A174" s="763"/>
      <c r="B174" s="768"/>
      <c r="C174" s="773" t="s">
        <v>278</v>
      </c>
      <c r="D174" s="771" t="s">
        <v>279</v>
      </c>
      <c r="E174" s="151" t="s">
        <v>322</v>
      </c>
      <c r="F174" s="144" t="s">
        <v>18</v>
      </c>
      <c r="G174" s="144" t="s">
        <v>51</v>
      </c>
      <c r="H174" s="151">
        <v>80</v>
      </c>
      <c r="I174" s="771" t="s">
        <v>290</v>
      </c>
      <c r="J174" s="145" t="s">
        <v>291</v>
      </c>
      <c r="K174" s="152" t="s">
        <v>18</v>
      </c>
      <c r="L174" s="153">
        <v>60</v>
      </c>
      <c r="M174" s="153">
        <v>85</v>
      </c>
      <c r="N174" s="154"/>
      <c r="O174" s="144" t="s">
        <v>300</v>
      </c>
      <c r="P174" s="424" t="s">
        <v>857</v>
      </c>
      <c r="Q174" s="641" t="s">
        <v>18</v>
      </c>
      <c r="R174" s="641">
        <v>100</v>
      </c>
      <c r="S174" s="641">
        <v>0</v>
      </c>
      <c r="T174" s="641">
        <v>0</v>
      </c>
      <c r="U174" s="641">
        <v>0</v>
      </c>
      <c r="V174" s="504">
        <v>100</v>
      </c>
      <c r="W174" s="741"/>
      <c r="X174" s="706"/>
      <c r="Y174" s="726"/>
      <c r="Z174" s="726"/>
      <c r="AA174" s="642">
        <v>0</v>
      </c>
      <c r="AB174" s="662">
        <v>0</v>
      </c>
      <c r="AC174" s="501">
        <v>0</v>
      </c>
      <c r="AD174" s="389">
        <v>0.01</v>
      </c>
      <c r="AE174" s="157"/>
      <c r="AF174" s="157"/>
      <c r="AG174" s="157"/>
      <c r="AH174" s="150"/>
      <c r="AI174" s="150"/>
      <c r="AJ174" s="150"/>
      <c r="AK174" s="150"/>
      <c r="AL174" s="150"/>
      <c r="AM174" s="150"/>
      <c r="AN174" s="150"/>
      <c r="AO174" s="150"/>
      <c r="AP174" s="150"/>
      <c r="AQ174" s="150"/>
      <c r="AR174" s="150"/>
      <c r="AS174" s="138" t="s">
        <v>432</v>
      </c>
      <c r="AT174" s="138" t="s">
        <v>432</v>
      </c>
      <c r="AU174" s="810"/>
    </row>
    <row r="175" spans="1:53" s="1" customFormat="1" ht="93" customHeight="1" thickBot="1">
      <c r="A175" s="763"/>
      <c r="B175" s="768"/>
      <c r="C175" s="763"/>
      <c r="D175" s="768"/>
      <c r="E175" s="151" t="s">
        <v>289</v>
      </c>
      <c r="F175" s="144" t="s">
        <v>18</v>
      </c>
      <c r="G175" s="144">
        <v>75</v>
      </c>
      <c r="H175" s="151">
        <v>80</v>
      </c>
      <c r="I175" s="768"/>
      <c r="J175" s="152" t="s">
        <v>292</v>
      </c>
      <c r="K175" s="152" t="s">
        <v>259</v>
      </c>
      <c r="L175" s="153">
        <v>1</v>
      </c>
      <c r="M175" s="153">
        <v>1</v>
      </c>
      <c r="N175" s="154"/>
      <c r="O175" s="153" t="s">
        <v>302</v>
      </c>
      <c r="P175" s="424" t="s">
        <v>747</v>
      </c>
      <c r="Q175" s="424" t="s">
        <v>17</v>
      </c>
      <c r="R175" s="424">
        <v>1</v>
      </c>
      <c r="S175" s="424">
        <v>0</v>
      </c>
      <c r="T175" s="424">
        <v>0</v>
      </c>
      <c r="U175" s="424">
        <v>0</v>
      </c>
      <c r="V175" s="407">
        <v>1</v>
      </c>
      <c r="W175" s="741"/>
      <c r="X175" s="706"/>
      <c r="Y175" s="726"/>
      <c r="Z175" s="726"/>
      <c r="AA175" s="498">
        <v>1</v>
      </c>
      <c r="AB175" s="388">
        <v>0</v>
      </c>
      <c r="AC175" s="498">
        <v>1</v>
      </c>
      <c r="AD175" s="389">
        <v>1</v>
      </c>
      <c r="AE175" s="157"/>
      <c r="AF175" s="157"/>
      <c r="AG175" s="157"/>
      <c r="AH175" s="150"/>
      <c r="AI175" s="150"/>
      <c r="AJ175" s="150"/>
      <c r="AK175" s="150" t="s">
        <v>931</v>
      </c>
      <c r="AL175" s="150"/>
      <c r="AM175" s="150"/>
      <c r="AN175" s="150"/>
      <c r="AO175" s="150"/>
      <c r="AP175" s="150"/>
      <c r="AQ175" s="150"/>
      <c r="AR175" s="150"/>
      <c r="AS175" s="138" t="s">
        <v>432</v>
      </c>
      <c r="AT175" s="138" t="s">
        <v>432</v>
      </c>
      <c r="AU175" s="810"/>
    </row>
    <row r="176" spans="1:53" s="1" customFormat="1" ht="120.75" customHeight="1" thickBot="1">
      <c r="A176" s="763"/>
      <c r="B176" s="768"/>
      <c r="C176" s="763"/>
      <c r="D176" s="768"/>
      <c r="E176" s="771" t="s">
        <v>323</v>
      </c>
      <c r="F176" s="771" t="s">
        <v>18</v>
      </c>
      <c r="G176" s="771">
        <v>75</v>
      </c>
      <c r="H176" s="771">
        <v>80</v>
      </c>
      <c r="I176" s="768"/>
      <c r="J176" s="152" t="s">
        <v>293</v>
      </c>
      <c r="K176" s="152" t="s">
        <v>18</v>
      </c>
      <c r="L176" s="153" t="s">
        <v>51</v>
      </c>
      <c r="M176" s="153">
        <v>95</v>
      </c>
      <c r="N176" s="154"/>
      <c r="O176" s="881" t="s">
        <v>301</v>
      </c>
      <c r="P176" s="424" t="s">
        <v>748</v>
      </c>
      <c r="Q176" s="424" t="s">
        <v>17</v>
      </c>
      <c r="R176" s="424">
        <v>12</v>
      </c>
      <c r="S176" s="424">
        <v>3</v>
      </c>
      <c r="T176" s="424">
        <v>3</v>
      </c>
      <c r="U176" s="424">
        <v>3</v>
      </c>
      <c r="V176" s="407">
        <v>3</v>
      </c>
      <c r="W176" s="741"/>
      <c r="X176" s="706"/>
      <c r="Y176" s="726"/>
      <c r="Z176" s="726"/>
      <c r="AA176" s="498">
        <v>3</v>
      </c>
      <c r="AB176" s="388">
        <v>3</v>
      </c>
      <c r="AC176" s="389">
        <v>3</v>
      </c>
      <c r="AD176" s="389">
        <v>3</v>
      </c>
      <c r="AE176" s="157"/>
      <c r="AF176" s="157"/>
      <c r="AG176" s="157"/>
      <c r="AH176" s="150"/>
      <c r="AI176" s="150"/>
      <c r="AJ176" s="150"/>
      <c r="AK176" s="508" t="s">
        <v>932</v>
      </c>
      <c r="AL176" s="150"/>
      <c r="AM176" s="150"/>
      <c r="AN176" s="150"/>
      <c r="AO176" s="150"/>
      <c r="AP176" s="150"/>
      <c r="AQ176" s="150"/>
      <c r="AR176" s="150"/>
      <c r="AS176" s="138" t="s">
        <v>432</v>
      </c>
      <c r="AT176" s="138" t="s">
        <v>432</v>
      </c>
      <c r="AU176" s="810"/>
    </row>
    <row r="177" spans="1:47" s="1" customFormat="1" ht="93" customHeight="1" thickBot="1">
      <c r="A177" s="763"/>
      <c r="B177" s="768"/>
      <c r="C177" s="763"/>
      <c r="D177" s="768"/>
      <c r="E177" s="768"/>
      <c r="F177" s="768"/>
      <c r="G177" s="768"/>
      <c r="H177" s="768"/>
      <c r="I177" s="768"/>
      <c r="J177" s="152" t="s">
        <v>294</v>
      </c>
      <c r="K177" s="152" t="s">
        <v>18</v>
      </c>
      <c r="L177" s="153" t="s">
        <v>51</v>
      </c>
      <c r="M177" s="153">
        <v>90</v>
      </c>
      <c r="N177" s="154"/>
      <c r="O177" s="882"/>
      <c r="P177" s="424" t="s">
        <v>749</v>
      </c>
      <c r="Q177" s="424" t="s">
        <v>17</v>
      </c>
      <c r="R177" s="424">
        <v>12</v>
      </c>
      <c r="S177" s="424">
        <v>3</v>
      </c>
      <c r="T177" s="424">
        <v>3</v>
      </c>
      <c r="U177" s="424">
        <v>3</v>
      </c>
      <c r="V177" s="407">
        <v>3</v>
      </c>
      <c r="W177" s="741"/>
      <c r="X177" s="706"/>
      <c r="Y177" s="726"/>
      <c r="Z177" s="726"/>
      <c r="AA177" s="498">
        <v>3</v>
      </c>
      <c r="AB177" s="388">
        <v>3</v>
      </c>
      <c r="AC177" s="389">
        <v>3</v>
      </c>
      <c r="AD177" s="389">
        <v>5</v>
      </c>
      <c r="AE177" s="157"/>
      <c r="AF177" s="157"/>
      <c r="AG177" s="157"/>
      <c r="AH177" s="150"/>
      <c r="AI177" s="150"/>
      <c r="AJ177" s="150"/>
      <c r="AK177" s="508" t="s">
        <v>933</v>
      </c>
      <c r="AL177" s="150"/>
      <c r="AM177" s="150"/>
      <c r="AN177" s="150"/>
      <c r="AO177" s="150"/>
      <c r="AP177" s="150"/>
      <c r="AQ177" s="150"/>
      <c r="AR177" s="150"/>
      <c r="AS177" s="138" t="s">
        <v>432</v>
      </c>
      <c r="AT177" s="138" t="s">
        <v>432</v>
      </c>
      <c r="AU177" s="810"/>
    </row>
    <row r="178" spans="1:47" s="1" customFormat="1" ht="93" customHeight="1" thickBot="1">
      <c r="A178" s="763"/>
      <c r="B178" s="768"/>
      <c r="C178" s="763"/>
      <c r="D178" s="768"/>
      <c r="E178" s="768"/>
      <c r="F178" s="768"/>
      <c r="G178" s="768"/>
      <c r="H178" s="768"/>
      <c r="I178" s="768"/>
      <c r="J178" s="152" t="s">
        <v>295</v>
      </c>
      <c r="K178" s="152" t="s">
        <v>18</v>
      </c>
      <c r="L178" s="153" t="s">
        <v>51</v>
      </c>
      <c r="M178" s="153">
        <v>90</v>
      </c>
      <c r="N178" s="154"/>
      <c r="O178" s="882"/>
      <c r="P178" s="424" t="s">
        <v>750</v>
      </c>
      <c r="Q178" s="424" t="s">
        <v>17</v>
      </c>
      <c r="R178" s="424">
        <v>12</v>
      </c>
      <c r="S178" s="424">
        <v>3</v>
      </c>
      <c r="T178" s="424">
        <v>3</v>
      </c>
      <c r="U178" s="424">
        <v>3</v>
      </c>
      <c r="V178" s="407">
        <v>3</v>
      </c>
      <c r="W178" s="741"/>
      <c r="X178" s="706"/>
      <c r="Y178" s="726"/>
      <c r="Z178" s="726"/>
      <c r="AA178" s="498">
        <v>3</v>
      </c>
      <c r="AB178" s="388">
        <v>3</v>
      </c>
      <c r="AC178" s="389">
        <v>3</v>
      </c>
      <c r="AD178" s="389">
        <v>0.03</v>
      </c>
      <c r="AE178" s="157"/>
      <c r="AF178" s="157"/>
      <c r="AG178" s="157"/>
      <c r="AH178" s="150"/>
      <c r="AI178" s="150"/>
      <c r="AJ178" s="150"/>
      <c r="AK178" s="150" t="s">
        <v>934</v>
      </c>
      <c r="AL178" s="150"/>
      <c r="AM178" s="150"/>
      <c r="AN178" s="150"/>
      <c r="AO178" s="150"/>
      <c r="AP178" s="150"/>
      <c r="AQ178" s="150"/>
      <c r="AR178" s="150"/>
      <c r="AS178" s="138" t="s">
        <v>432</v>
      </c>
      <c r="AT178" s="138" t="s">
        <v>432</v>
      </c>
      <c r="AU178" s="810"/>
    </row>
    <row r="179" spans="1:47" s="1" customFormat="1" ht="93" customHeight="1" thickBot="1">
      <c r="A179" s="763"/>
      <c r="B179" s="768"/>
      <c r="C179" s="763"/>
      <c r="D179" s="768"/>
      <c r="E179" s="768"/>
      <c r="F179" s="768"/>
      <c r="G179" s="768"/>
      <c r="H179" s="768"/>
      <c r="I179" s="768"/>
      <c r="J179" s="152" t="s">
        <v>296</v>
      </c>
      <c r="K179" s="152" t="s">
        <v>18</v>
      </c>
      <c r="L179" s="153" t="s">
        <v>51</v>
      </c>
      <c r="M179" s="153">
        <v>90</v>
      </c>
      <c r="N179" s="154"/>
      <c r="O179" s="882"/>
      <c r="P179" s="424" t="s">
        <v>858</v>
      </c>
      <c r="Q179" s="641" t="s">
        <v>18</v>
      </c>
      <c r="R179" s="641">
        <v>1</v>
      </c>
      <c r="S179" s="641">
        <v>0</v>
      </c>
      <c r="T179" s="641">
        <v>0</v>
      </c>
      <c r="U179" s="641">
        <v>0</v>
      </c>
      <c r="V179" s="504">
        <v>1</v>
      </c>
      <c r="W179" s="741"/>
      <c r="X179" s="706"/>
      <c r="Y179" s="726"/>
      <c r="Z179" s="726"/>
      <c r="AA179" s="642">
        <v>0</v>
      </c>
      <c r="AB179" s="662">
        <v>0</v>
      </c>
      <c r="AC179" s="501">
        <v>0</v>
      </c>
      <c r="AD179" s="389">
        <v>1</v>
      </c>
      <c r="AE179" s="157"/>
      <c r="AF179" s="157"/>
      <c r="AG179" s="157"/>
      <c r="AH179" s="150"/>
      <c r="AI179" s="150"/>
      <c r="AJ179" s="150"/>
      <c r="AK179" s="150"/>
      <c r="AL179" s="150"/>
      <c r="AM179" s="150"/>
      <c r="AN179" s="150"/>
      <c r="AO179" s="150"/>
      <c r="AP179" s="150"/>
      <c r="AQ179" s="150"/>
      <c r="AR179" s="150"/>
      <c r="AS179" s="138" t="s">
        <v>432</v>
      </c>
      <c r="AT179" s="138" t="s">
        <v>432</v>
      </c>
      <c r="AU179" s="810"/>
    </row>
    <row r="180" spans="1:47" s="1" customFormat="1" ht="136.5" customHeight="1" thickBot="1">
      <c r="A180" s="763"/>
      <c r="B180" s="768"/>
      <c r="C180" s="763"/>
      <c r="D180" s="768"/>
      <c r="E180" s="768"/>
      <c r="F180" s="768"/>
      <c r="G180" s="768"/>
      <c r="H180" s="768"/>
      <c r="I180" s="768"/>
      <c r="J180" s="152" t="s">
        <v>297</v>
      </c>
      <c r="K180" s="152" t="s">
        <v>18</v>
      </c>
      <c r="L180" s="153" t="s">
        <v>51</v>
      </c>
      <c r="M180" s="153">
        <v>90</v>
      </c>
      <c r="N180" s="154"/>
      <c r="O180" s="882"/>
      <c r="P180" s="424" t="s">
        <v>748</v>
      </c>
      <c r="Q180" s="424" t="s">
        <v>17</v>
      </c>
      <c r="R180" s="424">
        <v>12</v>
      </c>
      <c r="S180" s="424">
        <v>3</v>
      </c>
      <c r="T180" s="424">
        <v>3</v>
      </c>
      <c r="U180" s="424">
        <v>3</v>
      </c>
      <c r="V180" s="407">
        <v>3</v>
      </c>
      <c r="W180" s="741"/>
      <c r="X180" s="706"/>
      <c r="Y180" s="726"/>
      <c r="Z180" s="726"/>
      <c r="AA180" s="498">
        <v>3</v>
      </c>
      <c r="AB180" s="388">
        <v>3</v>
      </c>
      <c r="AC180" s="389">
        <v>3</v>
      </c>
      <c r="AD180" s="389">
        <v>0</v>
      </c>
      <c r="AE180" s="157"/>
      <c r="AF180" s="157"/>
      <c r="AG180" s="157"/>
      <c r="AH180" s="150"/>
      <c r="AI180" s="150"/>
      <c r="AJ180" s="150"/>
      <c r="AK180" s="508" t="s">
        <v>935</v>
      </c>
      <c r="AL180" s="150"/>
      <c r="AM180" s="150"/>
      <c r="AN180" s="150"/>
      <c r="AO180" s="150"/>
      <c r="AP180" s="150"/>
      <c r="AQ180" s="150"/>
      <c r="AR180" s="150"/>
      <c r="AS180" s="138" t="s">
        <v>432</v>
      </c>
      <c r="AT180" s="138" t="s">
        <v>432</v>
      </c>
      <c r="AU180" s="810"/>
    </row>
    <row r="181" spans="1:47" s="1" customFormat="1" ht="123" customHeight="1" thickBot="1">
      <c r="A181" s="763"/>
      <c r="B181" s="768"/>
      <c r="C181" s="763"/>
      <c r="D181" s="768"/>
      <c r="E181" s="768"/>
      <c r="F181" s="768"/>
      <c r="G181" s="768"/>
      <c r="H181" s="768"/>
      <c r="I181" s="768"/>
      <c r="J181" s="152" t="s">
        <v>298</v>
      </c>
      <c r="K181" s="152" t="s">
        <v>18</v>
      </c>
      <c r="L181" s="153" t="s">
        <v>51</v>
      </c>
      <c r="M181" s="153">
        <v>90</v>
      </c>
      <c r="N181" s="154"/>
      <c r="O181" s="882"/>
      <c r="P181" s="424" t="s">
        <v>748</v>
      </c>
      <c r="Q181" s="424" t="s">
        <v>17</v>
      </c>
      <c r="R181" s="424">
        <v>12</v>
      </c>
      <c r="S181" s="424">
        <v>3</v>
      </c>
      <c r="T181" s="424">
        <v>3</v>
      </c>
      <c r="U181" s="424">
        <v>3</v>
      </c>
      <c r="V181" s="407">
        <v>3</v>
      </c>
      <c r="W181" s="741"/>
      <c r="X181" s="706"/>
      <c r="Y181" s="726"/>
      <c r="Z181" s="726"/>
      <c r="AA181" s="498">
        <v>3</v>
      </c>
      <c r="AB181" s="388">
        <v>3</v>
      </c>
      <c r="AC181" s="389">
        <v>3</v>
      </c>
      <c r="AD181" s="389">
        <v>3</v>
      </c>
      <c r="AE181" s="157"/>
      <c r="AF181" s="157"/>
      <c r="AG181" s="157"/>
      <c r="AH181" s="150"/>
      <c r="AI181" s="150"/>
      <c r="AJ181" s="150"/>
      <c r="AK181" s="150" t="s">
        <v>936</v>
      </c>
      <c r="AL181" s="150"/>
      <c r="AM181" s="150"/>
      <c r="AN181" s="150"/>
      <c r="AO181" s="150"/>
      <c r="AP181" s="150"/>
      <c r="AQ181" s="150"/>
      <c r="AR181" s="150"/>
      <c r="AS181" s="138" t="s">
        <v>432</v>
      </c>
      <c r="AT181" s="138" t="s">
        <v>432</v>
      </c>
      <c r="AU181" s="810"/>
    </row>
    <row r="182" spans="1:47" s="1" customFormat="1" ht="129.75" customHeight="1" thickBot="1">
      <c r="A182" s="763"/>
      <c r="B182" s="768"/>
      <c r="C182" s="770"/>
      <c r="D182" s="772"/>
      <c r="E182" s="772"/>
      <c r="F182" s="772"/>
      <c r="G182" s="772"/>
      <c r="H182" s="772"/>
      <c r="I182" s="772"/>
      <c r="J182" s="152" t="s">
        <v>299</v>
      </c>
      <c r="K182" s="152" t="s">
        <v>18</v>
      </c>
      <c r="L182" s="153" t="s">
        <v>51</v>
      </c>
      <c r="M182" s="153">
        <v>90</v>
      </c>
      <c r="N182" s="154"/>
      <c r="O182" s="884"/>
      <c r="P182" s="424" t="s">
        <v>751</v>
      </c>
      <c r="Q182" s="424" t="s">
        <v>17</v>
      </c>
      <c r="R182" s="424">
        <v>2</v>
      </c>
      <c r="S182" s="424">
        <v>1</v>
      </c>
      <c r="T182" s="424">
        <v>0</v>
      </c>
      <c r="U182" s="424">
        <v>1</v>
      </c>
      <c r="V182" s="407">
        <v>0</v>
      </c>
      <c r="W182" s="741"/>
      <c r="X182" s="706"/>
      <c r="Y182" s="726"/>
      <c r="Z182" s="726"/>
      <c r="AA182" s="388">
        <v>1</v>
      </c>
      <c r="AB182" s="388">
        <v>0</v>
      </c>
      <c r="AC182" s="389">
        <v>1</v>
      </c>
      <c r="AD182" s="389">
        <v>0</v>
      </c>
      <c r="AE182" s="157"/>
      <c r="AF182" s="157"/>
      <c r="AG182" s="157"/>
      <c r="AH182" s="150"/>
      <c r="AI182" s="150"/>
      <c r="AJ182" s="150"/>
      <c r="AK182" s="150" t="s">
        <v>937</v>
      </c>
      <c r="AL182" s="150"/>
      <c r="AM182" s="150"/>
      <c r="AN182" s="150"/>
      <c r="AO182" s="150"/>
      <c r="AP182" s="150"/>
      <c r="AQ182" s="150"/>
      <c r="AR182" s="150"/>
      <c r="AS182" s="138" t="s">
        <v>432</v>
      </c>
      <c r="AT182" s="138" t="s">
        <v>432</v>
      </c>
      <c r="AU182" s="810"/>
    </row>
    <row r="183" spans="1:47" s="1" customFormat="1" ht="86.25" customHeight="1" thickBot="1">
      <c r="A183" s="763"/>
      <c r="B183" s="768"/>
      <c r="C183" s="771" t="s">
        <v>280</v>
      </c>
      <c r="D183" s="771" t="s">
        <v>281</v>
      </c>
      <c r="E183" s="151" t="s">
        <v>303</v>
      </c>
      <c r="F183" s="151" t="s">
        <v>82</v>
      </c>
      <c r="G183" s="152" t="s">
        <v>51</v>
      </c>
      <c r="H183" s="151" t="s">
        <v>329</v>
      </c>
      <c r="I183" s="771" t="s">
        <v>305</v>
      </c>
      <c r="J183" s="152" t="s">
        <v>306</v>
      </c>
      <c r="K183" s="152" t="s">
        <v>18</v>
      </c>
      <c r="L183" s="153">
        <v>80</v>
      </c>
      <c r="M183" s="153">
        <v>90</v>
      </c>
      <c r="N183" s="154"/>
      <c r="O183" s="881" t="s">
        <v>310</v>
      </c>
      <c r="P183" s="424" t="s">
        <v>752</v>
      </c>
      <c r="Q183" s="424" t="s">
        <v>17</v>
      </c>
      <c r="R183" s="424">
        <v>2</v>
      </c>
      <c r="S183" s="424">
        <v>0</v>
      </c>
      <c r="T183" s="424">
        <v>1</v>
      </c>
      <c r="U183" s="424">
        <v>0</v>
      </c>
      <c r="V183" s="407">
        <v>1</v>
      </c>
      <c r="W183" s="741"/>
      <c r="X183" s="706"/>
      <c r="Y183" s="726"/>
      <c r="Z183" s="726"/>
      <c r="AA183" s="388">
        <v>0</v>
      </c>
      <c r="AB183" s="388">
        <v>1</v>
      </c>
      <c r="AC183" s="389">
        <v>1</v>
      </c>
      <c r="AD183" s="389">
        <v>0</v>
      </c>
      <c r="AE183" s="157"/>
      <c r="AF183" s="157"/>
      <c r="AG183" s="157"/>
      <c r="AH183" s="150"/>
      <c r="AI183" s="150"/>
      <c r="AJ183" s="150"/>
      <c r="AK183" s="150" t="s">
        <v>938</v>
      </c>
      <c r="AL183" s="150"/>
      <c r="AM183" s="150"/>
      <c r="AN183" s="150"/>
      <c r="AO183" s="150"/>
      <c r="AP183" s="150"/>
      <c r="AQ183" s="150"/>
      <c r="AR183" s="150"/>
      <c r="AS183" s="138" t="s">
        <v>432</v>
      </c>
      <c r="AT183" s="138" t="s">
        <v>432</v>
      </c>
      <c r="AU183" s="810"/>
    </row>
    <row r="184" spans="1:47" s="1" customFormat="1" ht="69.75" customHeight="1" thickBot="1">
      <c r="A184" s="763"/>
      <c r="B184" s="768"/>
      <c r="C184" s="768"/>
      <c r="D184" s="768"/>
      <c r="E184" s="771" t="s">
        <v>304</v>
      </c>
      <c r="F184" s="771" t="s">
        <v>18</v>
      </c>
      <c r="G184" s="771" t="s">
        <v>51</v>
      </c>
      <c r="H184" s="771">
        <v>90</v>
      </c>
      <c r="I184" s="768"/>
      <c r="J184" s="152" t="s">
        <v>307</v>
      </c>
      <c r="K184" s="152" t="s">
        <v>18</v>
      </c>
      <c r="L184" s="153">
        <v>25</v>
      </c>
      <c r="M184" s="153">
        <v>10</v>
      </c>
      <c r="N184" s="154"/>
      <c r="O184" s="882"/>
      <c r="P184" s="424" t="s">
        <v>753</v>
      </c>
      <c r="Q184" s="424" t="s">
        <v>17</v>
      </c>
      <c r="R184" s="424">
        <v>12</v>
      </c>
      <c r="S184" s="424">
        <v>3</v>
      </c>
      <c r="T184" s="424">
        <v>3</v>
      </c>
      <c r="U184" s="424">
        <v>3</v>
      </c>
      <c r="V184" s="407">
        <v>3</v>
      </c>
      <c r="W184" s="741"/>
      <c r="X184" s="706"/>
      <c r="Y184" s="726"/>
      <c r="Z184" s="726"/>
      <c r="AA184" s="388">
        <v>3</v>
      </c>
      <c r="AB184" s="388">
        <v>3</v>
      </c>
      <c r="AC184" s="389">
        <v>3</v>
      </c>
      <c r="AD184" s="389">
        <v>3</v>
      </c>
      <c r="AE184" s="157"/>
      <c r="AF184" s="157"/>
      <c r="AG184" s="157"/>
      <c r="AH184" s="150"/>
      <c r="AI184" s="150"/>
      <c r="AJ184" s="150"/>
      <c r="AK184" s="150" t="s">
        <v>939</v>
      </c>
      <c r="AL184" s="150"/>
      <c r="AM184" s="150"/>
      <c r="AN184" s="150"/>
      <c r="AO184" s="150"/>
      <c r="AP184" s="150"/>
      <c r="AQ184" s="150"/>
      <c r="AR184" s="150"/>
      <c r="AS184" s="138" t="s">
        <v>432</v>
      </c>
      <c r="AT184" s="138" t="s">
        <v>432</v>
      </c>
      <c r="AU184" s="810"/>
    </row>
    <row r="185" spans="1:47" s="1" customFormat="1" ht="51.75" customHeight="1" thickBot="1">
      <c r="A185" s="764"/>
      <c r="B185" s="769"/>
      <c r="C185" s="769"/>
      <c r="D185" s="769"/>
      <c r="E185" s="769"/>
      <c r="F185" s="769"/>
      <c r="G185" s="769"/>
      <c r="H185" s="769"/>
      <c r="I185" s="769"/>
      <c r="J185" s="158" t="s">
        <v>308</v>
      </c>
      <c r="K185" s="158" t="s">
        <v>17</v>
      </c>
      <c r="L185" s="159" t="s">
        <v>51</v>
      </c>
      <c r="M185" s="159">
        <v>1</v>
      </c>
      <c r="N185" s="160"/>
      <c r="O185" s="883"/>
      <c r="P185" s="424" t="s">
        <v>754</v>
      </c>
      <c r="Q185" s="424" t="s">
        <v>17</v>
      </c>
      <c r="R185" s="424">
        <v>1</v>
      </c>
      <c r="S185" s="424">
        <v>0</v>
      </c>
      <c r="T185" s="424">
        <v>1</v>
      </c>
      <c r="U185" s="424">
        <v>0</v>
      </c>
      <c r="V185" s="407">
        <v>0</v>
      </c>
      <c r="W185" s="888"/>
      <c r="X185" s="731"/>
      <c r="Y185" s="733"/>
      <c r="Z185" s="733"/>
      <c r="AA185" s="498">
        <v>1</v>
      </c>
      <c r="AB185" s="657">
        <v>1</v>
      </c>
      <c r="AC185" s="502">
        <v>1</v>
      </c>
      <c r="AD185" s="389">
        <v>1</v>
      </c>
      <c r="AE185" s="157"/>
      <c r="AF185" s="157"/>
      <c r="AG185" s="157"/>
      <c r="AH185" s="150"/>
      <c r="AI185" s="150"/>
      <c r="AJ185" s="150"/>
      <c r="AK185" s="150" t="s">
        <v>940</v>
      </c>
      <c r="AL185" s="150"/>
      <c r="AM185" s="150"/>
      <c r="AN185" s="150"/>
      <c r="AO185" s="150"/>
      <c r="AP185" s="150"/>
      <c r="AQ185" s="150"/>
      <c r="AR185" s="150"/>
      <c r="AS185" s="138" t="s">
        <v>432</v>
      </c>
      <c r="AT185" s="138" t="s">
        <v>432</v>
      </c>
      <c r="AU185" s="811"/>
    </row>
    <row r="186" spans="1:47" s="9" customFormat="1" ht="42" customHeight="1" thickBot="1">
      <c r="A186" s="369"/>
      <c r="B186" s="369"/>
      <c r="C186" s="369"/>
      <c r="D186" s="369"/>
      <c r="E186" s="369"/>
      <c r="F186" s="369"/>
      <c r="G186" s="369"/>
      <c r="H186" s="369"/>
      <c r="I186" s="369"/>
      <c r="J186" s="369"/>
      <c r="K186" s="369"/>
      <c r="L186" s="369"/>
      <c r="M186" s="369"/>
      <c r="N186" s="369"/>
      <c r="O186" s="369"/>
      <c r="P186" s="369"/>
      <c r="Q186" s="370">
        <f>SUBTOTAL(9,Q8:Q185)</f>
        <v>11</v>
      </c>
      <c r="R186" s="370"/>
      <c r="S186" s="370">
        <f>SUBTOTAL(9,S8:S185)</f>
        <v>6089</v>
      </c>
      <c r="T186" s="370">
        <f>SUBTOTAL(9,T8:T185)</f>
        <v>6103</v>
      </c>
      <c r="U186" s="370">
        <f>SUBTOTAL(9,U8:U185)</f>
        <v>3705</v>
      </c>
      <c r="V186" s="370">
        <f>SUBTOTAL(9,V8:V185)</f>
        <v>2924</v>
      </c>
      <c r="W186" s="25"/>
      <c r="X186" s="26"/>
      <c r="Y186" s="27">
        <f>SUM(Y8:Y185)</f>
        <v>154210833597</v>
      </c>
      <c r="Z186" s="27">
        <f>SUM(Z8:Z185)</f>
        <v>154210833597</v>
      </c>
      <c r="AA186" s="503">
        <f>SUBTOTAL(9,AA8:AA185)</f>
        <v>6073.1</v>
      </c>
      <c r="AB186" s="503">
        <f>SUBTOTAL(9,AB8:AB185)</f>
        <v>6013.25</v>
      </c>
      <c r="AC186" s="503">
        <f t="shared" ref="AC186:AD186" si="0">SUBTOTAL(9,AC8:AC185)</f>
        <v>3533.5</v>
      </c>
      <c r="AD186" s="503">
        <f t="shared" si="0"/>
        <v>2695.0400000000004</v>
      </c>
      <c r="AE186" s="27">
        <f>SUM(AE8:AE185)</f>
        <v>0</v>
      </c>
      <c r="AF186" s="247"/>
      <c r="AG186" s="247"/>
      <c r="AH186" s="251"/>
      <c r="AI186" s="251"/>
      <c r="AJ186" s="251"/>
      <c r="AK186" s="251"/>
      <c r="AL186" s="251"/>
      <c r="AM186" s="251"/>
      <c r="AN186" s="251"/>
      <c r="AO186" s="251"/>
      <c r="AP186" s="251"/>
      <c r="AQ186" s="251"/>
      <c r="AR186" s="251"/>
      <c r="AS186" s="869"/>
      <c r="AT186" s="870"/>
      <c r="AU186" s="166"/>
    </row>
    <row r="187" spans="1:47" s="1" customFormat="1">
      <c r="A187" s="9"/>
      <c r="B187" s="3"/>
      <c r="C187" s="3"/>
      <c r="D187" s="3"/>
      <c r="E187" s="3"/>
      <c r="F187" s="3"/>
      <c r="G187" s="3"/>
      <c r="H187" s="3"/>
      <c r="I187" s="3"/>
      <c r="J187" s="3"/>
      <c r="K187" s="3"/>
      <c r="P187" s="5"/>
      <c r="Q187" s="3"/>
      <c r="R187" s="3"/>
      <c r="S187" s="3"/>
      <c r="T187" s="3"/>
      <c r="U187" s="3"/>
      <c r="V187" s="3"/>
      <c r="W187" s="3"/>
      <c r="X187" s="3"/>
      <c r="Y187" s="7"/>
      <c r="Z187" s="8"/>
      <c r="AA187" s="8"/>
      <c r="AB187" s="8"/>
      <c r="AC187" s="8"/>
      <c r="AD187" s="8"/>
      <c r="AE187" s="8"/>
      <c r="AF187" s="8"/>
      <c r="AG187" s="8"/>
      <c r="AH187" s="8"/>
      <c r="AI187" s="8"/>
      <c r="AJ187" s="8"/>
      <c r="AK187" s="8"/>
      <c r="AL187" s="8"/>
      <c r="AM187" s="8"/>
      <c r="AN187" s="8"/>
      <c r="AO187" s="8"/>
      <c r="AP187" s="8"/>
      <c r="AQ187" s="8"/>
      <c r="AR187" s="8"/>
      <c r="AS187" s="3"/>
      <c r="AT187" s="3"/>
    </row>
    <row r="188" spans="1:47" s="1" customFormat="1">
      <c r="A188" s="9"/>
      <c r="B188" s="3"/>
      <c r="C188" s="3"/>
      <c r="D188" s="3"/>
      <c r="E188" s="3"/>
      <c r="F188" s="3"/>
      <c r="G188" s="3"/>
      <c r="H188" s="3"/>
      <c r="I188" s="3"/>
      <c r="J188" s="3"/>
      <c r="K188" s="3"/>
      <c r="P188" s="5"/>
      <c r="Q188" s="3"/>
      <c r="R188" s="3"/>
      <c r="S188" s="3"/>
      <c r="T188" s="3"/>
      <c r="U188" s="3"/>
      <c r="V188" s="3"/>
      <c r="X188" s="3"/>
      <c r="Y188" s="3"/>
      <c r="Z188" s="8"/>
      <c r="AA188" s="8"/>
      <c r="AB188" s="8"/>
      <c r="AC188" s="8"/>
      <c r="AD188" s="8"/>
      <c r="AE188" s="8"/>
      <c r="AF188" s="8"/>
      <c r="AG188" s="8"/>
      <c r="AH188" s="8"/>
      <c r="AI188" s="8"/>
      <c r="AJ188" s="8"/>
      <c r="AK188" s="8"/>
      <c r="AL188" s="8"/>
      <c r="AM188" s="8"/>
      <c r="AN188" s="8"/>
      <c r="AO188" s="8"/>
      <c r="AP188" s="8"/>
      <c r="AQ188" s="8"/>
      <c r="AR188" s="8"/>
      <c r="AS188" s="3"/>
      <c r="AT188" s="3"/>
    </row>
    <row r="189" spans="1:47" s="1" customFormat="1">
      <c r="A189" s="9"/>
      <c r="B189" s="3"/>
      <c r="C189" s="3"/>
      <c r="D189" s="3"/>
      <c r="E189" s="3"/>
      <c r="F189" s="3"/>
      <c r="G189" s="3"/>
      <c r="H189" s="3"/>
      <c r="I189" s="3"/>
      <c r="J189" s="3"/>
      <c r="K189" s="3"/>
      <c r="Y189" s="3"/>
      <c r="Z189" s="11"/>
      <c r="AA189" s="11"/>
      <c r="AB189" s="11"/>
      <c r="AC189" s="11"/>
      <c r="AD189" s="11"/>
      <c r="AE189" s="11"/>
      <c r="AF189" s="11"/>
      <c r="AG189" s="11"/>
      <c r="AH189" s="11"/>
      <c r="AI189" s="11"/>
      <c r="AJ189" s="11"/>
      <c r="AK189" s="11"/>
      <c r="AL189" s="11"/>
      <c r="AM189" s="11"/>
      <c r="AN189" s="11"/>
      <c r="AO189" s="11"/>
      <c r="AP189" s="11"/>
      <c r="AQ189" s="11"/>
      <c r="AR189" s="11"/>
      <c r="AS189" s="3"/>
      <c r="AT189" s="3"/>
    </row>
    <row r="190" spans="1:47" s="1" customFormat="1">
      <c r="A190" s="9"/>
      <c r="B190" s="3"/>
      <c r="C190" s="3"/>
      <c r="D190" s="3"/>
      <c r="E190" s="3"/>
      <c r="F190" s="3"/>
      <c r="G190" s="3"/>
      <c r="H190" s="3"/>
      <c r="I190" s="3"/>
      <c r="J190" s="3"/>
      <c r="K190" s="3"/>
      <c r="Y190" s="3"/>
      <c r="Z190" s="7"/>
      <c r="AA190" s="7"/>
      <c r="AB190" s="7"/>
      <c r="AC190" s="7"/>
      <c r="AD190" s="7"/>
      <c r="AE190" s="7"/>
      <c r="AF190" s="7"/>
      <c r="AG190" s="7"/>
      <c r="AH190" s="7"/>
      <c r="AI190" s="7"/>
      <c r="AJ190" s="7"/>
      <c r="AK190" s="7"/>
      <c r="AL190" s="7"/>
      <c r="AM190" s="7"/>
      <c r="AN190" s="7"/>
      <c r="AO190" s="7"/>
      <c r="AP190" s="7"/>
      <c r="AQ190" s="7"/>
      <c r="AR190" s="7"/>
      <c r="AS190" s="3"/>
      <c r="AT190" s="3"/>
    </row>
    <row r="191" spans="1:47" s="1" customFormat="1" ht="28.5" customHeight="1">
      <c r="A191" s="9"/>
      <c r="B191" s="3"/>
      <c r="C191" s="3"/>
      <c r="D191" s="3"/>
      <c r="E191" s="3"/>
      <c r="F191" s="3"/>
      <c r="G191" s="3"/>
      <c r="H191" s="3"/>
      <c r="I191" s="3"/>
      <c r="J191" s="3"/>
      <c r="K191" s="3"/>
      <c r="P191" s="260"/>
      <c r="Q191" s="760" t="s">
        <v>693</v>
      </c>
      <c r="R191" s="760"/>
      <c r="S191" s="390"/>
      <c r="T191" s="390"/>
      <c r="U191" s="391"/>
      <c r="Y191" s="3"/>
      <c r="Z191" s="7">
        <f>+Z195-Z186</f>
        <v>-1.4801025390625E-2</v>
      </c>
      <c r="AA191" s="7"/>
      <c r="AB191" s="7"/>
      <c r="AC191" s="7"/>
      <c r="AD191" s="7"/>
      <c r="AE191" s="7"/>
      <c r="AF191" s="7"/>
      <c r="AG191" s="7"/>
      <c r="AH191" s="7"/>
      <c r="AI191" s="7"/>
      <c r="AJ191" s="7"/>
      <c r="AK191" s="7"/>
      <c r="AL191" s="7"/>
      <c r="AM191" s="7"/>
      <c r="AN191" s="7"/>
      <c r="AO191" s="7"/>
      <c r="AP191" s="7"/>
      <c r="AQ191" s="7"/>
      <c r="AR191" s="7"/>
      <c r="AS191" s="3"/>
      <c r="AT191" s="3"/>
    </row>
    <row r="192" spans="1:47" s="1" customFormat="1" ht="28.5">
      <c r="A192" s="9"/>
      <c r="B192" s="3"/>
      <c r="C192" s="3"/>
      <c r="D192" s="3"/>
      <c r="E192" s="3"/>
      <c r="F192" s="3"/>
      <c r="G192" s="3"/>
      <c r="H192" s="3"/>
      <c r="I192" s="3"/>
      <c r="J192" s="3"/>
      <c r="K192" s="3"/>
      <c r="P192" s="260" t="s">
        <v>696</v>
      </c>
      <c r="Q192" s="259" t="s">
        <v>695</v>
      </c>
      <c r="R192" s="259" t="s">
        <v>694</v>
      </c>
      <c r="U192" s="260" t="s">
        <v>696</v>
      </c>
      <c r="Y192" s="3"/>
      <c r="Z192" s="7"/>
      <c r="AA192" s="7"/>
      <c r="AB192" s="7"/>
      <c r="AD192" s="7"/>
      <c r="AE192" s="7"/>
      <c r="AF192" s="7"/>
      <c r="AG192" s="7"/>
      <c r="AH192" s="7"/>
      <c r="AI192" s="7"/>
      <c r="AJ192" s="7"/>
      <c r="AK192" s="7"/>
      <c r="AL192" s="7"/>
      <c r="AM192" s="7"/>
      <c r="AN192" s="7"/>
      <c r="AO192" s="7"/>
      <c r="AP192" s="7"/>
      <c r="AQ192" s="7"/>
      <c r="AR192" s="7"/>
      <c r="AS192" s="3"/>
      <c r="AT192" s="3"/>
    </row>
    <row r="193" spans="1:47" s="1" customFormat="1">
      <c r="A193" s="9"/>
      <c r="B193" s="3"/>
      <c r="C193" s="3"/>
      <c r="D193" s="3"/>
      <c r="E193" s="3"/>
      <c r="F193" s="3"/>
      <c r="G193" s="3"/>
      <c r="H193" s="3"/>
      <c r="I193" s="3"/>
      <c r="J193" s="3"/>
      <c r="K193" s="3"/>
      <c r="P193" s="260"/>
      <c r="Q193" s="260"/>
      <c r="R193" s="260"/>
      <c r="U193" s="260"/>
      <c r="Y193" s="13"/>
      <c r="Z193" s="7"/>
      <c r="AA193" s="7"/>
      <c r="AB193" s="7"/>
      <c r="AC193" s="7"/>
      <c r="AD193" s="7"/>
      <c r="AE193" s="7"/>
      <c r="AF193" s="7"/>
      <c r="AG193" s="7"/>
      <c r="AH193" s="7"/>
      <c r="AI193" s="7"/>
      <c r="AJ193" s="7"/>
      <c r="AK193" s="7"/>
      <c r="AL193" s="7"/>
      <c r="AM193" s="7"/>
      <c r="AN193" s="7"/>
      <c r="AO193" s="7"/>
      <c r="AP193" s="7"/>
      <c r="AQ193" s="7"/>
      <c r="AR193" s="7"/>
      <c r="AS193" s="3"/>
      <c r="AT193" s="3"/>
    </row>
    <row r="194" spans="1:47" s="1" customFormat="1">
      <c r="A194" s="9"/>
      <c r="B194" s="3"/>
      <c r="C194" s="3"/>
      <c r="D194" s="3"/>
      <c r="E194" s="3"/>
      <c r="F194" s="3"/>
      <c r="G194" s="3"/>
      <c r="H194" s="3"/>
      <c r="I194" s="3"/>
      <c r="J194" s="3"/>
      <c r="K194" s="3"/>
      <c r="Y194" s="3"/>
      <c r="Z194" s="7"/>
      <c r="AA194" s="7"/>
      <c r="AB194" s="7"/>
      <c r="AC194" s="7"/>
      <c r="AD194" s="7"/>
      <c r="AE194" s="7"/>
      <c r="AF194" s="7"/>
      <c r="AG194" s="7"/>
      <c r="AH194" s="7"/>
      <c r="AI194" s="7"/>
      <c r="AJ194" s="7"/>
      <c r="AK194" s="7"/>
      <c r="AL194" s="7"/>
      <c r="AM194" s="7"/>
      <c r="AN194" s="7"/>
      <c r="AO194" s="7"/>
      <c r="AP194" s="7"/>
      <c r="AQ194" s="7"/>
      <c r="AR194" s="7"/>
      <c r="AS194" s="3"/>
      <c r="AT194" s="3"/>
    </row>
    <row r="195" spans="1:47" s="1" customFormat="1" ht="23.25">
      <c r="A195" s="9"/>
      <c r="B195" s="3"/>
      <c r="C195" s="3"/>
      <c r="D195" s="3"/>
      <c r="E195" s="3"/>
      <c r="F195" s="3"/>
      <c r="G195" s="3"/>
      <c r="H195" s="3"/>
      <c r="I195" s="3"/>
      <c r="J195" s="3"/>
      <c r="K195" s="3"/>
      <c r="Y195" s="3"/>
      <c r="Z195" s="12">
        <v>154210833596.9852</v>
      </c>
      <c r="AA195" s="245"/>
      <c r="AB195" s="245"/>
      <c r="AC195" s="245"/>
      <c r="AD195" s="245"/>
      <c r="AE195" s="245"/>
      <c r="AF195" s="245"/>
      <c r="AG195" s="245"/>
      <c r="AH195" s="245"/>
      <c r="AI195" s="245"/>
      <c r="AJ195" s="245"/>
      <c r="AK195" s="245"/>
      <c r="AL195" s="245"/>
      <c r="AM195" s="245"/>
      <c r="AN195" s="245"/>
      <c r="AO195" s="245"/>
      <c r="AP195" s="245"/>
      <c r="AQ195" s="245"/>
      <c r="AR195" s="245"/>
      <c r="AS195" s="245"/>
      <c r="AT195" s="13">
        <f>Z195-Z186</f>
        <v>-1.4801025390625E-2</v>
      </c>
      <c r="AU195" s="3"/>
    </row>
    <row r="196" spans="1:47" s="1" customFormat="1" ht="16.5" thickBot="1">
      <c r="A196" s="9"/>
      <c r="B196" s="3"/>
      <c r="C196" s="3"/>
      <c r="D196" s="3"/>
      <c r="E196" s="3"/>
      <c r="F196" s="3"/>
      <c r="G196" s="3"/>
      <c r="H196" s="3"/>
      <c r="I196" s="3"/>
      <c r="J196" s="3"/>
      <c r="K196" s="3"/>
      <c r="P196" s="747">
        <f>O196</f>
        <v>0</v>
      </c>
      <c r="Y196" s="3"/>
      <c r="Z196" s="7"/>
      <c r="AA196" s="7"/>
      <c r="AB196" s="7"/>
      <c r="AC196" s="7"/>
      <c r="AD196" s="7"/>
      <c r="AE196" s="7"/>
      <c r="AF196" s="7"/>
      <c r="AG196" s="7"/>
      <c r="AH196" s="7"/>
      <c r="AI196" s="7"/>
      <c r="AJ196" s="7"/>
      <c r="AK196" s="7"/>
      <c r="AL196" s="7"/>
      <c r="AM196" s="7"/>
      <c r="AN196" s="7"/>
      <c r="AO196" s="7"/>
      <c r="AP196" s="7"/>
      <c r="AQ196" s="7"/>
      <c r="AR196" s="7"/>
      <c r="AS196" s="7"/>
      <c r="AT196" s="3"/>
      <c r="AU196" s="3"/>
    </row>
    <row r="197" spans="1:47" s="1" customFormat="1" ht="90">
      <c r="A197" s="9"/>
      <c r="B197" s="3"/>
      <c r="C197" s="3"/>
      <c r="D197" s="3"/>
      <c r="E197" s="3"/>
      <c r="F197" s="3"/>
      <c r="G197" s="3"/>
      <c r="H197" s="3"/>
      <c r="I197" s="3"/>
      <c r="J197" s="3"/>
      <c r="K197" s="3"/>
      <c r="P197" s="748"/>
      <c r="V197" s="615" t="s">
        <v>1150</v>
      </c>
      <c r="W197" s="616"/>
      <c r="X197" s="616"/>
      <c r="Y197" s="617"/>
      <c r="Z197" s="618" t="s">
        <v>793</v>
      </c>
      <c r="AA197" s="618" t="s">
        <v>794</v>
      </c>
      <c r="AB197" s="615" t="s">
        <v>659</v>
      </c>
      <c r="AC197" s="615" t="s">
        <v>1151</v>
      </c>
      <c r="AD197" s="615" t="s">
        <v>1152</v>
      </c>
      <c r="AE197" s="615" t="s">
        <v>659</v>
      </c>
      <c r="AF197" s="619" t="s">
        <v>661</v>
      </c>
      <c r="AG197" s="619" t="s">
        <v>662</v>
      </c>
      <c r="AH197" s="619" t="s">
        <v>663</v>
      </c>
      <c r="AI197" s="619" t="s">
        <v>664</v>
      </c>
      <c r="AJ197" s="615" t="s">
        <v>659</v>
      </c>
      <c r="AK197" s="615" t="s">
        <v>660</v>
      </c>
      <c r="AL197" s="7"/>
      <c r="AM197" s="7"/>
      <c r="AN197" s="7"/>
      <c r="AO197" s="7"/>
      <c r="AP197" s="7"/>
      <c r="AQ197" s="7"/>
      <c r="AR197" s="7"/>
      <c r="AS197" s="7"/>
      <c r="AT197" s="3"/>
      <c r="AU197" s="3"/>
    </row>
    <row r="198" spans="1:47" s="1" customFormat="1" ht="18">
      <c r="A198" s="9"/>
      <c r="B198" s="3"/>
      <c r="C198" s="3"/>
      <c r="D198" s="3"/>
      <c r="E198" s="3"/>
      <c r="F198" s="3"/>
      <c r="G198" s="3"/>
      <c r="H198" s="3"/>
      <c r="I198" s="3"/>
      <c r="J198" s="3"/>
      <c r="K198" s="3"/>
      <c r="P198" s="748"/>
      <c r="Q198" s="3"/>
      <c r="R198" s="3"/>
      <c r="S198" s="3"/>
      <c r="T198" s="3"/>
      <c r="U198" s="3"/>
      <c r="V198" s="259" t="s">
        <v>969</v>
      </c>
      <c r="W198" s="259"/>
      <c r="X198" s="260"/>
      <c r="Y198" s="432"/>
      <c r="Z198" s="432"/>
      <c r="AA198" s="613">
        <v>0</v>
      </c>
      <c r="AB198" s="613">
        <v>0</v>
      </c>
      <c r="AC198" s="613">
        <v>0</v>
      </c>
      <c r="AD198" s="613">
        <v>10</v>
      </c>
      <c r="AE198" s="613"/>
      <c r="AF198" s="614"/>
      <c r="AG198" s="613"/>
      <c r="AH198" s="614"/>
      <c r="AI198" s="613"/>
      <c r="AJ198" s="613">
        <v>0</v>
      </c>
      <c r="AK198" s="613">
        <v>0</v>
      </c>
      <c r="AL198" s="7"/>
      <c r="AM198" s="7"/>
      <c r="AN198" s="7"/>
      <c r="AO198" s="7"/>
      <c r="AP198" s="7"/>
      <c r="AQ198" s="7"/>
      <c r="AR198" s="7"/>
      <c r="AS198" s="7"/>
      <c r="AT198" s="3"/>
      <c r="AU198" s="3"/>
    </row>
    <row r="199" spans="1:47" s="1" customFormat="1">
      <c r="A199" s="9"/>
      <c r="B199" s="3"/>
      <c r="C199" s="3"/>
      <c r="D199" s="3"/>
      <c r="E199" s="3"/>
      <c r="F199" s="3"/>
      <c r="G199" s="3"/>
      <c r="H199" s="3"/>
      <c r="I199" s="3"/>
      <c r="J199" s="3"/>
      <c r="K199" s="3"/>
      <c r="P199" s="749"/>
      <c r="Q199" s="3"/>
      <c r="R199" s="3"/>
      <c r="S199" s="3"/>
      <c r="T199" s="3"/>
      <c r="U199" s="3"/>
      <c r="V199" s="259" t="s">
        <v>970</v>
      </c>
      <c r="W199" s="259"/>
      <c r="X199" s="259"/>
      <c r="Y199" s="432"/>
      <c r="Z199" s="432"/>
      <c r="AA199" s="372">
        <v>0</v>
      </c>
      <c r="AB199" s="372">
        <v>0</v>
      </c>
      <c r="AC199" s="372">
        <v>0</v>
      </c>
      <c r="AD199" s="613">
        <v>23</v>
      </c>
      <c r="AE199" s="432"/>
      <c r="AF199" s="432"/>
      <c r="AG199" s="432"/>
      <c r="AH199" s="432"/>
      <c r="AI199" s="432"/>
      <c r="AJ199" s="613">
        <v>4</v>
      </c>
      <c r="AK199" s="613">
        <v>4</v>
      </c>
      <c r="AL199" s="7"/>
      <c r="AM199" s="7"/>
      <c r="AN199" s="7"/>
      <c r="AO199" s="7"/>
      <c r="AP199" s="7"/>
      <c r="AQ199" s="7"/>
      <c r="AR199" s="7"/>
      <c r="AS199" s="7"/>
      <c r="AT199" s="3"/>
      <c r="AU199" s="3"/>
    </row>
    <row r="200" spans="1:47" s="1" customFormat="1" ht="18.75" customHeight="1">
      <c r="A200" s="9"/>
      <c r="B200" s="3"/>
      <c r="C200" s="3"/>
      <c r="D200" s="3"/>
      <c r="E200" s="3"/>
      <c r="F200" s="3"/>
      <c r="G200" s="3"/>
      <c r="H200" s="3"/>
      <c r="I200" s="3"/>
      <c r="J200" s="3"/>
      <c r="K200" s="3"/>
      <c r="P200" s="633"/>
      <c r="Q200" s="3"/>
      <c r="R200" s="3"/>
      <c r="S200" s="3"/>
      <c r="T200" s="3"/>
      <c r="U200" s="3"/>
      <c r="V200" s="259" t="s">
        <v>971</v>
      </c>
      <c r="W200" s="3"/>
      <c r="X200" s="3"/>
      <c r="Y200" s="7"/>
      <c r="Z200" s="371" t="s">
        <v>793</v>
      </c>
      <c r="AA200" s="372">
        <v>0</v>
      </c>
      <c r="AB200" s="372">
        <v>0</v>
      </c>
      <c r="AC200" s="372">
        <v>0</v>
      </c>
      <c r="AD200" s="613">
        <v>16</v>
      </c>
      <c r="AE200" s="432"/>
      <c r="AF200" s="432"/>
      <c r="AG200" s="432"/>
      <c r="AH200" s="432"/>
      <c r="AI200" s="432"/>
      <c r="AJ200" s="613">
        <v>4</v>
      </c>
      <c r="AK200" s="613">
        <v>3</v>
      </c>
      <c r="AL200" s="7"/>
      <c r="AM200" s="7"/>
      <c r="AN200" s="7"/>
      <c r="AO200" s="7"/>
      <c r="AP200" s="7"/>
      <c r="AQ200" s="7"/>
      <c r="AR200" s="7"/>
      <c r="AS200" s="7"/>
      <c r="AT200" s="3"/>
      <c r="AU200" s="3"/>
    </row>
    <row r="201" spans="1:47" s="1" customFormat="1" ht="16.5" thickBot="1">
      <c r="A201" s="9"/>
      <c r="B201" s="3"/>
      <c r="C201" s="3"/>
      <c r="D201" s="3"/>
      <c r="E201" s="3"/>
      <c r="F201" s="3"/>
      <c r="G201" s="3"/>
      <c r="H201" s="3"/>
      <c r="I201" s="3"/>
      <c r="J201" s="3"/>
      <c r="K201" s="3"/>
      <c r="P201" s="5"/>
      <c r="Q201" s="3"/>
      <c r="R201" s="3"/>
      <c r="S201" s="3"/>
      <c r="T201" s="3"/>
      <c r="U201" s="3"/>
      <c r="V201" s="3"/>
      <c r="W201" s="3"/>
      <c r="X201" s="3"/>
      <c r="Y201" s="7"/>
      <c r="Z201" s="7"/>
      <c r="AA201" s="7"/>
      <c r="AB201" s="7"/>
      <c r="AC201" s="7"/>
      <c r="AD201" s="7"/>
      <c r="AE201" s="7"/>
      <c r="AF201" s="7"/>
      <c r="AG201" s="7"/>
      <c r="AH201" s="7"/>
      <c r="AI201" s="7"/>
      <c r="AJ201" s="7"/>
      <c r="AK201" s="7"/>
      <c r="AL201" s="7"/>
      <c r="AM201" s="7"/>
      <c r="AN201" s="7"/>
      <c r="AO201" s="7"/>
      <c r="AP201" s="7"/>
      <c r="AQ201" s="7"/>
      <c r="AR201" s="7"/>
      <c r="AS201" s="3"/>
      <c r="AT201" s="3"/>
    </row>
    <row r="202" spans="1:47" s="1" customFormat="1" ht="90">
      <c r="A202" s="9"/>
      <c r="B202" s="3"/>
      <c r="C202" s="3"/>
      <c r="D202" s="3"/>
      <c r="E202" s="3"/>
      <c r="F202" s="3"/>
      <c r="G202" s="3"/>
      <c r="H202" s="3"/>
      <c r="I202" s="3"/>
      <c r="J202" s="3"/>
      <c r="K202" s="3"/>
      <c r="P202" s="5"/>
      <c r="Q202" s="3"/>
      <c r="R202" s="3"/>
      <c r="S202" s="3"/>
      <c r="T202" s="3"/>
      <c r="U202" s="3"/>
      <c r="V202" s="615" t="s">
        <v>1153</v>
      </c>
      <c r="W202" s="616"/>
      <c r="X202" s="616"/>
      <c r="Y202" s="617"/>
      <c r="Z202" s="618" t="s">
        <v>793</v>
      </c>
      <c r="AA202" s="618" t="s">
        <v>794</v>
      </c>
      <c r="AB202" s="615" t="s">
        <v>659</v>
      </c>
      <c r="AC202" s="615" t="s">
        <v>1151</v>
      </c>
      <c r="AD202" s="615" t="s">
        <v>1152</v>
      </c>
      <c r="AE202" s="615" t="s">
        <v>659</v>
      </c>
      <c r="AF202" s="619" t="s">
        <v>661</v>
      </c>
      <c r="AG202" s="619" t="s">
        <v>662</v>
      </c>
      <c r="AH202" s="619" t="s">
        <v>663</v>
      </c>
      <c r="AI202" s="619" t="s">
        <v>664</v>
      </c>
      <c r="AJ202" s="615" t="s">
        <v>659</v>
      </c>
      <c r="AK202" s="615" t="s">
        <v>660</v>
      </c>
    </row>
    <row r="203" spans="1:47" s="1" customFormat="1" ht="18">
      <c r="A203" s="9"/>
      <c r="B203" s="3"/>
      <c r="C203" s="3"/>
      <c r="D203" s="3"/>
      <c r="E203" s="3"/>
      <c r="F203" s="3"/>
      <c r="G203" s="3"/>
      <c r="H203" s="3"/>
      <c r="I203" s="3"/>
      <c r="J203" s="747">
        <f>I203</f>
        <v>0</v>
      </c>
      <c r="K203" s="3"/>
      <c r="P203" s="5"/>
      <c r="Q203" s="3"/>
      <c r="R203" s="3"/>
      <c r="S203" s="3"/>
      <c r="T203" s="3"/>
      <c r="U203" s="3"/>
      <c r="V203" s="259" t="s">
        <v>969</v>
      </c>
      <c r="W203" s="259"/>
      <c r="X203" s="260"/>
      <c r="Y203" s="432"/>
      <c r="Z203" s="432"/>
      <c r="AA203" s="613">
        <v>12</v>
      </c>
      <c r="AB203" s="613">
        <v>12</v>
      </c>
      <c r="AC203" s="613">
        <v>12</v>
      </c>
      <c r="AD203" s="613">
        <f>592+52</f>
        <v>644</v>
      </c>
      <c r="AE203" s="613"/>
      <c r="AF203" s="614"/>
      <c r="AG203" s="613"/>
      <c r="AH203" s="614"/>
      <c r="AI203" s="613"/>
      <c r="AJ203" s="613">
        <v>161</v>
      </c>
      <c r="AK203" s="613">
        <v>158</v>
      </c>
    </row>
    <row r="204" spans="1:47" s="1" customFormat="1">
      <c r="A204" s="9"/>
      <c r="B204" s="3"/>
      <c r="C204" s="3"/>
      <c r="D204" s="3"/>
      <c r="E204" s="3"/>
      <c r="F204" s="3"/>
      <c r="G204" s="3"/>
      <c r="H204" s="3"/>
      <c r="I204" s="3"/>
      <c r="J204" s="748"/>
      <c r="K204" s="3"/>
      <c r="P204" s="5"/>
      <c r="Q204" s="3"/>
      <c r="R204" s="3"/>
      <c r="S204" s="3"/>
      <c r="T204" s="3"/>
      <c r="U204" s="3"/>
      <c r="V204" s="259" t="s">
        <v>970</v>
      </c>
      <c r="W204" s="259"/>
      <c r="X204" s="259"/>
      <c r="Y204" s="432"/>
      <c r="Z204" s="432"/>
      <c r="AA204" s="613">
        <v>0</v>
      </c>
      <c r="AB204" s="613">
        <v>0</v>
      </c>
      <c r="AC204" s="613">
        <v>0</v>
      </c>
      <c r="AD204" s="613">
        <v>109</v>
      </c>
      <c r="AE204" s="613"/>
      <c r="AF204" s="613"/>
      <c r="AG204" s="613"/>
      <c r="AH204" s="613"/>
      <c r="AI204" s="613"/>
      <c r="AJ204" s="613">
        <v>35</v>
      </c>
      <c r="AK204" s="613">
        <v>35</v>
      </c>
    </row>
    <row r="205" spans="1:47" s="1" customFormat="1">
      <c r="A205" s="9"/>
      <c r="B205" s="3"/>
      <c r="C205" s="3"/>
      <c r="D205" s="3"/>
      <c r="E205" s="3"/>
      <c r="F205" s="3"/>
      <c r="G205" s="3"/>
      <c r="H205" s="3"/>
      <c r="I205" s="3"/>
      <c r="J205" s="748"/>
      <c r="K205" s="3"/>
      <c r="P205" s="5"/>
      <c r="Q205" s="3"/>
      <c r="R205" s="3"/>
      <c r="S205" s="3"/>
      <c r="T205" s="3"/>
      <c r="U205" s="3"/>
      <c r="V205" s="3"/>
      <c r="W205" s="3"/>
      <c r="X205" s="3"/>
      <c r="Y205" s="7"/>
      <c r="Z205" s="7"/>
    </row>
    <row r="206" spans="1:47" s="1" customFormat="1" ht="16.5" thickBot="1">
      <c r="A206" s="9"/>
      <c r="B206" s="3"/>
      <c r="C206" s="3"/>
      <c r="D206" s="3"/>
      <c r="E206" s="3"/>
      <c r="F206" s="3"/>
      <c r="G206" s="3"/>
      <c r="H206" s="3"/>
      <c r="I206" s="3"/>
      <c r="J206" s="749"/>
      <c r="K206" s="3"/>
      <c r="P206" s="5"/>
      <c r="Q206" s="3"/>
      <c r="R206" s="3"/>
      <c r="S206" s="3"/>
      <c r="T206" s="3"/>
      <c r="U206" s="3"/>
      <c r="V206" s="3"/>
      <c r="W206" s="3"/>
      <c r="X206" s="3"/>
      <c r="Y206" s="7"/>
      <c r="Z206" s="7"/>
    </row>
    <row r="207" spans="1:47" ht="90">
      <c r="V207" s="615" t="s">
        <v>1154</v>
      </c>
      <c r="W207" s="616"/>
      <c r="X207" s="616"/>
      <c r="Y207" s="617"/>
      <c r="Z207" s="618" t="s">
        <v>793</v>
      </c>
      <c r="AA207" s="618" t="s">
        <v>794</v>
      </c>
      <c r="AB207" s="615" t="s">
        <v>659</v>
      </c>
      <c r="AC207" s="615" t="s">
        <v>1151</v>
      </c>
      <c r="AD207" s="615" t="s">
        <v>1152</v>
      </c>
      <c r="AE207" s="615" t="s">
        <v>659</v>
      </c>
      <c r="AF207" s="619" t="s">
        <v>661</v>
      </c>
      <c r="AG207" s="619" t="s">
        <v>662</v>
      </c>
      <c r="AH207" s="619" t="s">
        <v>663</v>
      </c>
      <c r="AI207" s="619" t="s">
        <v>664</v>
      </c>
      <c r="AJ207" s="615" t="s">
        <v>659</v>
      </c>
      <c r="AK207" s="615" t="s">
        <v>660</v>
      </c>
      <c r="AL207" s="2"/>
      <c r="AM207" s="2"/>
      <c r="AN207" s="2"/>
      <c r="AO207" s="2"/>
      <c r="AP207" s="2"/>
      <c r="AQ207" s="2"/>
      <c r="AR207" s="2"/>
      <c r="AS207" s="2"/>
      <c r="AT207" s="2"/>
    </row>
    <row r="208" spans="1:47" ht="18">
      <c r="V208" s="259" t="s">
        <v>969</v>
      </c>
      <c r="W208" s="259"/>
      <c r="X208" s="260"/>
      <c r="Y208" s="432"/>
      <c r="Z208" s="432"/>
      <c r="AA208" s="613">
        <v>13</v>
      </c>
      <c r="AB208" s="613">
        <v>13</v>
      </c>
      <c r="AC208" s="613">
        <v>13</v>
      </c>
      <c r="AD208" s="613">
        <v>7620</v>
      </c>
      <c r="AE208" s="613"/>
      <c r="AF208" s="614"/>
      <c r="AG208" s="613"/>
      <c r="AH208" s="614"/>
      <c r="AI208" s="613"/>
      <c r="AJ208" s="613">
        <v>3360</v>
      </c>
      <c r="AK208" s="613">
        <v>3593</v>
      </c>
      <c r="AL208" s="2"/>
      <c r="AM208" s="2"/>
      <c r="AN208" s="2"/>
      <c r="AO208" s="2"/>
      <c r="AP208" s="2"/>
      <c r="AQ208" s="2"/>
      <c r="AR208" s="2"/>
      <c r="AS208" s="2"/>
      <c r="AT208" s="2"/>
    </row>
    <row r="209" spans="22:46">
      <c r="V209" s="259" t="s">
        <v>970</v>
      </c>
      <c r="W209" s="259"/>
      <c r="X209" s="259"/>
      <c r="Y209" s="432"/>
      <c r="Z209" s="432"/>
      <c r="AA209" s="613">
        <v>1</v>
      </c>
      <c r="AB209" s="613">
        <v>1</v>
      </c>
      <c r="AC209" s="613">
        <v>1</v>
      </c>
      <c r="AD209" s="613">
        <v>12</v>
      </c>
      <c r="AE209" s="613"/>
      <c r="AF209" s="613"/>
      <c r="AG209" s="613"/>
      <c r="AH209" s="613"/>
      <c r="AI209" s="613"/>
      <c r="AJ209" s="613">
        <v>2</v>
      </c>
      <c r="AK209" s="613">
        <v>2</v>
      </c>
      <c r="AL209" s="2"/>
      <c r="AM209" s="2"/>
      <c r="AN209" s="2"/>
      <c r="AO209" s="2"/>
      <c r="AP209" s="2"/>
      <c r="AQ209" s="2"/>
      <c r="AR209" s="2"/>
      <c r="AS209" s="2"/>
      <c r="AT209" s="2"/>
    </row>
    <row r="210" spans="22:46">
      <c r="AA210" s="2"/>
      <c r="AB210" s="2"/>
      <c r="AC210" s="2"/>
      <c r="AD210" s="2"/>
      <c r="AE210" s="2"/>
      <c r="AF210" s="2"/>
      <c r="AG210" s="2"/>
      <c r="AH210" s="2"/>
      <c r="AI210" s="2"/>
      <c r="AJ210" s="2"/>
      <c r="AK210" s="2"/>
      <c r="AL210" s="2"/>
      <c r="AM210" s="2"/>
      <c r="AN210" s="2"/>
      <c r="AO210" s="2"/>
      <c r="AP210" s="2"/>
      <c r="AQ210" s="2"/>
      <c r="AR210" s="2"/>
      <c r="AS210" s="2"/>
      <c r="AT210" s="2"/>
    </row>
    <row r="211" spans="22:46" ht="16.5" thickBot="1">
      <c r="AA211" s="2"/>
      <c r="AB211" s="2"/>
      <c r="AC211" s="2"/>
      <c r="AD211" s="2"/>
      <c r="AE211" s="2"/>
      <c r="AF211" s="2"/>
      <c r="AG211" s="2"/>
      <c r="AH211" s="2"/>
      <c r="AI211" s="2"/>
      <c r="AJ211" s="2"/>
      <c r="AK211" s="2"/>
      <c r="AL211" s="2"/>
      <c r="AM211" s="2"/>
      <c r="AN211" s="2"/>
      <c r="AO211" s="2"/>
      <c r="AP211" s="2"/>
      <c r="AQ211" s="2"/>
      <c r="AR211" s="2"/>
      <c r="AS211" s="2"/>
      <c r="AT211" s="2"/>
    </row>
    <row r="212" spans="22:46" ht="90">
      <c r="V212" s="615" t="s">
        <v>1155</v>
      </c>
      <c r="W212" s="616"/>
      <c r="X212" s="616"/>
      <c r="Y212" s="617"/>
      <c r="Z212" s="618" t="s">
        <v>793</v>
      </c>
      <c r="AA212" s="618" t="s">
        <v>794</v>
      </c>
      <c r="AB212" s="615" t="s">
        <v>659</v>
      </c>
      <c r="AC212" s="615" t="s">
        <v>1151</v>
      </c>
      <c r="AD212" s="615" t="s">
        <v>1152</v>
      </c>
      <c r="AE212" s="615" t="s">
        <v>659</v>
      </c>
      <c r="AF212" s="619" t="s">
        <v>661</v>
      </c>
      <c r="AG212" s="619" t="s">
        <v>662</v>
      </c>
      <c r="AH212" s="619" t="s">
        <v>663</v>
      </c>
      <c r="AI212" s="619" t="s">
        <v>664</v>
      </c>
      <c r="AJ212" s="615" t="s">
        <v>659</v>
      </c>
      <c r="AK212" s="615" t="s">
        <v>660</v>
      </c>
      <c r="AL212" s="2"/>
      <c r="AM212" s="2"/>
      <c r="AN212" s="2"/>
      <c r="AO212" s="2"/>
      <c r="AP212" s="2"/>
      <c r="AQ212" s="2"/>
      <c r="AR212" s="2"/>
      <c r="AS212" s="2"/>
      <c r="AT212" s="2"/>
    </row>
    <row r="213" spans="22:46" ht="18">
      <c r="V213" s="259" t="s">
        <v>969</v>
      </c>
      <c r="W213" s="259"/>
      <c r="X213" s="260"/>
      <c r="Y213" s="432"/>
      <c r="Z213" s="432"/>
      <c r="AA213" s="613">
        <v>0</v>
      </c>
      <c r="AB213" s="613">
        <v>0</v>
      </c>
      <c r="AC213" s="613">
        <v>0</v>
      </c>
      <c r="AD213" s="613">
        <v>1</v>
      </c>
      <c r="AE213" s="613"/>
      <c r="AF213" s="614"/>
      <c r="AG213" s="613"/>
      <c r="AH213" s="614"/>
      <c r="AI213" s="613"/>
      <c r="AJ213" s="613">
        <v>1</v>
      </c>
      <c r="AK213" s="613">
        <v>1</v>
      </c>
      <c r="AL213" s="2"/>
      <c r="AM213" s="2"/>
      <c r="AN213" s="2"/>
      <c r="AO213" s="2"/>
      <c r="AP213" s="2"/>
      <c r="AQ213" s="2"/>
      <c r="AR213" s="2"/>
      <c r="AS213" s="2"/>
      <c r="AT213" s="2"/>
    </row>
    <row r="214" spans="22:46">
      <c r="V214" s="259" t="s">
        <v>970</v>
      </c>
      <c r="W214" s="259"/>
      <c r="X214" s="259"/>
      <c r="Y214" s="432"/>
      <c r="Z214" s="432"/>
      <c r="AA214" s="613">
        <v>3</v>
      </c>
      <c r="AB214" s="613">
        <v>3</v>
      </c>
      <c r="AC214" s="613">
        <v>3</v>
      </c>
      <c r="AD214" s="613">
        <v>12</v>
      </c>
      <c r="AE214" s="613"/>
      <c r="AF214" s="613"/>
      <c r="AG214" s="613"/>
      <c r="AH214" s="613"/>
      <c r="AI214" s="613"/>
      <c r="AJ214" s="613">
        <v>3</v>
      </c>
      <c r="AK214" s="613">
        <v>3</v>
      </c>
      <c r="AL214" s="2"/>
      <c r="AM214" s="2"/>
      <c r="AN214" s="2"/>
      <c r="AO214" s="2"/>
      <c r="AP214" s="2"/>
      <c r="AQ214" s="2"/>
      <c r="AR214" s="2"/>
      <c r="AS214" s="2"/>
      <c r="AT214" s="2"/>
    </row>
    <row r="215" spans="22:46" ht="21" customHeight="1">
      <c r="V215" s="259" t="s">
        <v>971</v>
      </c>
      <c r="Z215" s="371" t="s">
        <v>793</v>
      </c>
      <c r="AA215" s="613">
        <v>3</v>
      </c>
      <c r="AB215" s="613">
        <v>3</v>
      </c>
      <c r="AC215" s="613">
        <v>3</v>
      </c>
      <c r="AD215" s="613">
        <v>31</v>
      </c>
      <c r="AE215" s="613"/>
      <c r="AF215" s="613"/>
      <c r="AG215" s="613"/>
      <c r="AH215" s="613"/>
      <c r="AI215" s="613"/>
      <c r="AJ215" s="613">
        <v>10</v>
      </c>
      <c r="AK215" s="613">
        <v>4</v>
      </c>
      <c r="AL215" s="2" t="s">
        <v>1164</v>
      </c>
      <c r="AM215" s="2"/>
      <c r="AN215" s="2"/>
      <c r="AO215" s="2"/>
      <c r="AP215" s="2"/>
      <c r="AQ215" s="2"/>
      <c r="AR215" s="2"/>
      <c r="AS215" s="2"/>
      <c r="AT215" s="2"/>
    </row>
    <row r="216" spans="22:46">
      <c r="V216" s="259" t="s">
        <v>972</v>
      </c>
      <c r="Z216" s="432"/>
      <c r="AA216" s="613">
        <v>0</v>
      </c>
      <c r="AB216" s="613">
        <v>0</v>
      </c>
      <c r="AC216" s="613">
        <v>0</v>
      </c>
      <c r="AD216" s="613">
        <v>411</v>
      </c>
      <c r="AE216" s="613"/>
      <c r="AF216" s="613"/>
      <c r="AG216" s="613"/>
      <c r="AH216" s="613"/>
      <c r="AI216" s="613"/>
      <c r="AJ216" s="613">
        <v>401</v>
      </c>
      <c r="AK216" s="613">
        <v>401</v>
      </c>
      <c r="AL216" s="2"/>
      <c r="AM216" s="2"/>
      <c r="AN216" s="2"/>
      <c r="AO216" s="2"/>
      <c r="AP216" s="2"/>
      <c r="AQ216" s="2"/>
      <c r="AR216" s="2"/>
      <c r="AS216" s="2"/>
      <c r="AT216" s="2"/>
    </row>
    <row r="217" spans="22:46" ht="16.5" thickBot="1">
      <c r="AA217" s="2"/>
      <c r="AB217" s="2"/>
      <c r="AC217" s="2"/>
      <c r="AD217" s="2"/>
      <c r="AE217" s="2"/>
      <c r="AF217" s="2"/>
      <c r="AG217" s="2"/>
      <c r="AH217" s="2"/>
      <c r="AI217" s="2"/>
      <c r="AJ217" s="2"/>
      <c r="AK217" s="2"/>
      <c r="AL217" s="2"/>
      <c r="AM217" s="2"/>
      <c r="AN217" s="2"/>
      <c r="AO217" s="2"/>
      <c r="AP217" s="2"/>
      <c r="AQ217" s="2"/>
      <c r="AR217" s="2"/>
      <c r="AS217" s="2"/>
      <c r="AT217" s="2"/>
    </row>
    <row r="218" spans="22:46" ht="90">
      <c r="V218" s="615" t="s">
        <v>1156</v>
      </c>
      <c r="W218" s="616"/>
      <c r="X218" s="616"/>
      <c r="Y218" s="617"/>
      <c r="Z218" s="618" t="s">
        <v>793</v>
      </c>
      <c r="AA218" s="618" t="s">
        <v>794</v>
      </c>
      <c r="AB218" s="615" t="s">
        <v>659</v>
      </c>
      <c r="AC218" s="615" t="s">
        <v>1151</v>
      </c>
      <c r="AD218" s="615" t="s">
        <v>1152</v>
      </c>
      <c r="AE218" s="615" t="s">
        <v>659</v>
      </c>
      <c r="AF218" s="619" t="s">
        <v>661</v>
      </c>
      <c r="AG218" s="619" t="s">
        <v>662</v>
      </c>
      <c r="AH218" s="619" t="s">
        <v>663</v>
      </c>
      <c r="AI218" s="619" t="s">
        <v>664</v>
      </c>
      <c r="AJ218" s="615" t="s">
        <v>659</v>
      </c>
      <c r="AK218" s="615" t="s">
        <v>660</v>
      </c>
      <c r="AL218" s="2"/>
      <c r="AM218" s="2"/>
      <c r="AN218" s="2"/>
      <c r="AO218" s="2"/>
      <c r="AP218" s="2"/>
      <c r="AQ218" s="2"/>
      <c r="AR218" s="2"/>
      <c r="AS218" s="2"/>
      <c r="AT218" s="2"/>
    </row>
    <row r="219" spans="22:46" ht="18">
      <c r="V219" s="259" t="s">
        <v>969</v>
      </c>
      <c r="W219" s="259"/>
      <c r="X219" s="260"/>
      <c r="Y219" s="432"/>
      <c r="Z219" s="432"/>
      <c r="AA219" s="613">
        <v>0</v>
      </c>
      <c r="AB219" s="613">
        <v>0</v>
      </c>
      <c r="AC219" s="613">
        <v>0</v>
      </c>
      <c r="AD219" s="613">
        <v>79</v>
      </c>
      <c r="AE219" s="613"/>
      <c r="AF219" s="614"/>
      <c r="AG219" s="613"/>
      <c r="AH219" s="614"/>
      <c r="AI219" s="613"/>
      <c r="AJ219" s="613">
        <v>20</v>
      </c>
      <c r="AK219" s="613">
        <v>20</v>
      </c>
      <c r="AL219" s="2"/>
      <c r="AM219" s="2"/>
      <c r="AN219" s="2"/>
      <c r="AO219" s="2"/>
      <c r="AP219" s="2"/>
      <c r="AQ219" s="2"/>
      <c r="AR219" s="2"/>
      <c r="AS219" s="2"/>
      <c r="AT219" s="2"/>
    </row>
    <row r="220" spans="22:46">
      <c r="V220" s="259" t="s">
        <v>970</v>
      </c>
      <c r="W220" s="259"/>
      <c r="X220" s="259"/>
      <c r="Y220" s="432"/>
      <c r="Z220" s="432"/>
      <c r="AA220" s="613">
        <v>0</v>
      </c>
      <c r="AB220" s="613">
        <v>0</v>
      </c>
      <c r="AC220" s="613">
        <v>0</v>
      </c>
      <c r="AD220" s="613">
        <v>93</v>
      </c>
      <c r="AE220" s="613"/>
      <c r="AF220" s="613"/>
      <c r="AG220" s="613"/>
      <c r="AH220" s="613"/>
      <c r="AI220" s="613"/>
      <c r="AJ220" s="613">
        <v>21</v>
      </c>
      <c r="AK220" s="613">
        <v>21</v>
      </c>
      <c r="AL220" s="2"/>
      <c r="AM220" s="2"/>
      <c r="AN220" s="2"/>
      <c r="AO220" s="2"/>
      <c r="AP220" s="2"/>
      <c r="AQ220" s="2"/>
      <c r="AR220" s="2"/>
      <c r="AS220" s="2"/>
      <c r="AT220" s="2"/>
    </row>
    <row r="221" spans="22:46" ht="16.5" thickBot="1">
      <c r="AA221" s="2"/>
      <c r="AB221" s="2"/>
      <c r="AC221" s="2"/>
      <c r="AD221" s="2"/>
      <c r="AE221" s="2"/>
      <c r="AF221" s="2"/>
      <c r="AG221" s="2"/>
      <c r="AH221" s="2"/>
      <c r="AI221" s="2"/>
      <c r="AJ221" s="2"/>
      <c r="AK221" s="2"/>
      <c r="AL221" s="2"/>
      <c r="AM221" s="2"/>
      <c r="AN221" s="2"/>
      <c r="AO221" s="2"/>
      <c r="AP221" s="2"/>
      <c r="AQ221" s="2"/>
      <c r="AR221" s="2"/>
      <c r="AS221" s="2"/>
      <c r="AT221" s="2"/>
    </row>
    <row r="222" spans="22:46" ht="90">
      <c r="V222" s="615" t="s">
        <v>1157</v>
      </c>
      <c r="W222" s="616"/>
      <c r="X222" s="616"/>
      <c r="Y222" s="617"/>
      <c r="Z222" s="618" t="s">
        <v>793</v>
      </c>
      <c r="AA222" s="618" t="s">
        <v>794</v>
      </c>
      <c r="AB222" s="615" t="s">
        <v>659</v>
      </c>
      <c r="AC222" s="615" t="s">
        <v>1151</v>
      </c>
      <c r="AD222" s="615" t="s">
        <v>1152</v>
      </c>
      <c r="AE222" s="615" t="s">
        <v>659</v>
      </c>
      <c r="AF222" s="619" t="s">
        <v>661</v>
      </c>
      <c r="AG222" s="619" t="s">
        <v>662</v>
      </c>
      <c r="AH222" s="619" t="s">
        <v>663</v>
      </c>
      <c r="AI222" s="619" t="s">
        <v>664</v>
      </c>
      <c r="AJ222" s="615" t="s">
        <v>659</v>
      </c>
      <c r="AK222" s="615" t="s">
        <v>660</v>
      </c>
      <c r="AL222" s="2"/>
      <c r="AM222" s="2"/>
      <c r="AN222" s="2"/>
      <c r="AO222" s="2"/>
      <c r="AP222" s="2"/>
      <c r="AQ222" s="2"/>
      <c r="AR222" s="2"/>
      <c r="AS222" s="2"/>
      <c r="AT222" s="2"/>
    </row>
    <row r="223" spans="22:46" ht="18">
      <c r="V223" s="259" t="s">
        <v>969</v>
      </c>
      <c r="W223" s="259"/>
      <c r="X223" s="260"/>
      <c r="Y223" s="432"/>
      <c r="Z223" s="432"/>
      <c r="AA223" s="613">
        <v>0</v>
      </c>
      <c r="AB223" s="613">
        <v>0</v>
      </c>
      <c r="AC223" s="613">
        <v>0</v>
      </c>
      <c r="AD223" s="613">
        <v>8</v>
      </c>
      <c r="AE223" s="613"/>
      <c r="AF223" s="614"/>
      <c r="AG223" s="613"/>
      <c r="AH223" s="614"/>
      <c r="AI223" s="613"/>
      <c r="AJ223" s="613">
        <v>2</v>
      </c>
      <c r="AK223" s="613">
        <v>2</v>
      </c>
      <c r="AL223" s="2"/>
      <c r="AM223" s="2"/>
      <c r="AN223" s="2"/>
      <c r="AO223" s="2"/>
      <c r="AP223" s="2"/>
      <c r="AQ223" s="2"/>
      <c r="AR223" s="2"/>
      <c r="AS223" s="2"/>
      <c r="AT223" s="2"/>
    </row>
    <row r="224" spans="22:46">
      <c r="V224" s="259" t="s">
        <v>970</v>
      </c>
      <c r="W224" s="259"/>
      <c r="X224" s="259"/>
      <c r="Y224" s="432"/>
      <c r="Z224" s="432"/>
      <c r="AA224" s="613">
        <v>0</v>
      </c>
      <c r="AB224" s="613">
        <v>0</v>
      </c>
      <c r="AC224" s="613">
        <v>0</v>
      </c>
      <c r="AD224" s="613">
        <v>2</v>
      </c>
      <c r="AE224" s="613"/>
      <c r="AF224" s="613"/>
      <c r="AG224" s="613"/>
      <c r="AH224" s="613"/>
      <c r="AI224" s="613"/>
      <c r="AJ224" s="613">
        <v>0</v>
      </c>
      <c r="AK224" s="613">
        <v>0</v>
      </c>
      <c r="AL224" s="2"/>
      <c r="AM224" s="2"/>
      <c r="AN224" s="2"/>
      <c r="AO224" s="2"/>
      <c r="AP224" s="2"/>
      <c r="AQ224" s="2"/>
      <c r="AR224" s="2"/>
      <c r="AS224" s="2"/>
      <c r="AT224" s="2"/>
    </row>
    <row r="225" spans="22:46">
      <c r="AA225" s="2"/>
      <c r="AB225" s="2"/>
      <c r="AC225" s="2"/>
      <c r="AD225" s="2"/>
      <c r="AE225" s="2"/>
      <c r="AF225" s="2"/>
      <c r="AG225" s="2"/>
      <c r="AH225" s="2"/>
      <c r="AI225" s="2"/>
      <c r="AJ225" s="2"/>
      <c r="AK225" s="2"/>
      <c r="AL225" s="2"/>
      <c r="AM225" s="2"/>
      <c r="AN225" s="2"/>
      <c r="AO225" s="2"/>
      <c r="AP225" s="2"/>
      <c r="AQ225" s="2"/>
      <c r="AR225" s="2"/>
      <c r="AS225" s="2"/>
      <c r="AT225" s="2"/>
    </row>
    <row r="226" spans="22:46" ht="16.5" thickBot="1">
      <c r="AA226" s="2"/>
      <c r="AB226" s="2"/>
      <c r="AC226" s="2"/>
      <c r="AD226" s="2"/>
      <c r="AE226" s="2"/>
      <c r="AF226" s="2"/>
      <c r="AG226" s="2"/>
      <c r="AH226" s="2"/>
      <c r="AI226" s="2"/>
      <c r="AJ226" s="2"/>
      <c r="AK226" s="2"/>
      <c r="AL226" s="2"/>
      <c r="AM226" s="2"/>
      <c r="AN226" s="2"/>
      <c r="AO226" s="2"/>
      <c r="AP226" s="2"/>
      <c r="AQ226" s="2"/>
      <c r="AR226" s="2"/>
      <c r="AS226" s="2"/>
      <c r="AT226" s="2"/>
    </row>
    <row r="227" spans="22:46" ht="90">
      <c r="V227" s="615" t="s">
        <v>1158</v>
      </c>
      <c r="W227" s="616"/>
      <c r="X227" s="616"/>
      <c r="Y227" s="617"/>
      <c r="Z227" s="618" t="s">
        <v>793</v>
      </c>
      <c r="AA227" s="618" t="s">
        <v>794</v>
      </c>
      <c r="AB227" s="615" t="s">
        <v>659</v>
      </c>
      <c r="AC227" s="615" t="s">
        <v>1151</v>
      </c>
      <c r="AD227" s="615" t="s">
        <v>1152</v>
      </c>
      <c r="AE227" s="615" t="s">
        <v>659</v>
      </c>
      <c r="AF227" s="619" t="s">
        <v>661</v>
      </c>
      <c r="AG227" s="619" t="s">
        <v>662</v>
      </c>
      <c r="AH227" s="619" t="s">
        <v>663</v>
      </c>
      <c r="AI227" s="619" t="s">
        <v>664</v>
      </c>
      <c r="AJ227" s="615" t="s">
        <v>659</v>
      </c>
      <c r="AK227" s="615" t="s">
        <v>660</v>
      </c>
      <c r="AL227" s="2"/>
      <c r="AM227" s="2"/>
      <c r="AN227" s="2"/>
      <c r="AO227" s="2"/>
      <c r="AP227" s="2"/>
      <c r="AQ227" s="2"/>
      <c r="AR227" s="2"/>
      <c r="AS227" s="2"/>
      <c r="AT227" s="2"/>
    </row>
    <row r="228" spans="22:46" ht="18">
      <c r="V228" s="259" t="s">
        <v>969</v>
      </c>
      <c r="W228" s="259"/>
      <c r="X228" s="260"/>
      <c r="Y228" s="432"/>
      <c r="Z228" s="432"/>
      <c r="AA228" s="613">
        <v>1</v>
      </c>
      <c r="AB228" s="613">
        <v>1</v>
      </c>
      <c r="AC228" s="613">
        <v>1</v>
      </c>
      <c r="AD228" s="613">
        <v>56</v>
      </c>
      <c r="AE228" s="613"/>
      <c r="AF228" s="614"/>
      <c r="AG228" s="613"/>
      <c r="AH228" s="614"/>
      <c r="AI228" s="613"/>
      <c r="AJ228" s="613">
        <v>4</v>
      </c>
      <c r="AK228" s="613">
        <v>4</v>
      </c>
      <c r="AL228" s="2"/>
      <c r="AM228" s="2"/>
      <c r="AN228" s="2"/>
      <c r="AO228" s="2"/>
      <c r="AP228" s="2"/>
      <c r="AQ228" s="2"/>
      <c r="AR228" s="2"/>
      <c r="AS228" s="2"/>
      <c r="AT228" s="2"/>
    </row>
    <row r="229" spans="22:46">
      <c r="AA229" s="2"/>
      <c r="AB229" s="2"/>
      <c r="AC229" s="2"/>
      <c r="AD229" s="2"/>
      <c r="AE229" s="2"/>
      <c r="AF229" s="2"/>
      <c r="AG229" s="2"/>
      <c r="AH229" s="2"/>
      <c r="AI229" s="2"/>
      <c r="AJ229" s="2"/>
      <c r="AK229" s="2"/>
      <c r="AL229" s="2"/>
      <c r="AM229" s="2"/>
      <c r="AN229" s="2"/>
      <c r="AO229" s="2"/>
      <c r="AP229" s="2"/>
      <c r="AQ229" s="2"/>
      <c r="AR229" s="2"/>
      <c r="AS229" s="2"/>
      <c r="AT229" s="2"/>
    </row>
    <row r="230" spans="22:46" ht="16.5" thickBot="1">
      <c r="AA230" s="2"/>
      <c r="AB230" s="2"/>
      <c r="AC230" s="2"/>
      <c r="AD230" s="2"/>
      <c r="AE230" s="2"/>
      <c r="AF230" s="2"/>
      <c r="AG230" s="2"/>
      <c r="AH230" s="2"/>
      <c r="AI230" s="2"/>
      <c r="AJ230" s="2"/>
      <c r="AK230" s="2"/>
      <c r="AL230" s="2"/>
      <c r="AM230" s="2"/>
      <c r="AN230" s="2"/>
      <c r="AO230" s="2"/>
      <c r="AP230" s="2"/>
      <c r="AQ230" s="2"/>
      <c r="AR230" s="2"/>
      <c r="AS230" s="2"/>
      <c r="AT230" s="2"/>
    </row>
    <row r="231" spans="22:46" ht="90">
      <c r="V231" s="615" t="s">
        <v>1159</v>
      </c>
      <c r="W231" s="616"/>
      <c r="X231" s="616"/>
      <c r="Y231" s="617"/>
      <c r="Z231" s="618" t="s">
        <v>793</v>
      </c>
      <c r="AA231" s="618" t="s">
        <v>794</v>
      </c>
      <c r="AB231" s="615" t="s">
        <v>659</v>
      </c>
      <c r="AC231" s="615" t="s">
        <v>1151</v>
      </c>
      <c r="AD231" s="615" t="s">
        <v>1152</v>
      </c>
      <c r="AE231" s="615" t="s">
        <v>659</v>
      </c>
      <c r="AF231" s="619" t="s">
        <v>661</v>
      </c>
      <c r="AG231" s="619" t="s">
        <v>662</v>
      </c>
      <c r="AH231" s="619" t="s">
        <v>663</v>
      </c>
      <c r="AI231" s="619" t="s">
        <v>664</v>
      </c>
      <c r="AJ231" s="615" t="s">
        <v>659</v>
      </c>
      <c r="AK231" s="615" t="s">
        <v>660</v>
      </c>
      <c r="AL231" s="2"/>
      <c r="AM231" s="2"/>
      <c r="AN231" s="2"/>
      <c r="AO231" s="2"/>
      <c r="AP231" s="2"/>
      <c r="AQ231" s="2"/>
      <c r="AR231" s="2"/>
      <c r="AS231" s="2"/>
      <c r="AT231" s="2"/>
    </row>
    <row r="232" spans="22:46" ht="18">
      <c r="V232" s="259" t="s">
        <v>969</v>
      </c>
      <c r="W232" s="259"/>
      <c r="X232" s="260"/>
      <c r="Y232" s="432"/>
      <c r="Z232" s="432"/>
      <c r="AA232" s="613">
        <v>0</v>
      </c>
      <c r="AB232" s="613">
        <v>0</v>
      </c>
      <c r="AC232" s="613">
        <v>0</v>
      </c>
      <c r="AD232" s="613">
        <v>25</v>
      </c>
      <c r="AE232" s="613"/>
      <c r="AF232" s="614"/>
      <c r="AG232" s="613"/>
      <c r="AH232" s="614"/>
      <c r="AI232" s="613"/>
      <c r="AJ232" s="613">
        <v>6</v>
      </c>
      <c r="AK232" s="613">
        <v>6</v>
      </c>
      <c r="AL232" s="2"/>
      <c r="AM232" s="2"/>
      <c r="AN232" s="2"/>
      <c r="AO232" s="2"/>
      <c r="AP232" s="2"/>
      <c r="AQ232" s="2"/>
      <c r="AR232" s="2"/>
      <c r="AS232" s="2"/>
      <c r="AT232" s="2"/>
    </row>
    <row r="233" spans="22:46">
      <c r="V233" s="259" t="s">
        <v>970</v>
      </c>
      <c r="W233" s="259"/>
      <c r="X233" s="259"/>
      <c r="Y233" s="432"/>
      <c r="Z233" s="432"/>
      <c r="AA233" s="613">
        <v>2</v>
      </c>
      <c r="AB233" s="613">
        <v>0</v>
      </c>
      <c r="AC233" s="613">
        <v>0</v>
      </c>
      <c r="AD233" s="613">
        <v>63</v>
      </c>
      <c r="AE233" s="613"/>
      <c r="AF233" s="613"/>
      <c r="AG233" s="613"/>
      <c r="AH233" s="613"/>
      <c r="AI233" s="613"/>
      <c r="AJ233" s="613">
        <v>16</v>
      </c>
      <c r="AK233" s="613">
        <v>17</v>
      </c>
      <c r="AL233" s="2"/>
      <c r="AM233" s="2"/>
      <c r="AN233" s="2"/>
      <c r="AO233" s="2"/>
      <c r="AP233" s="2"/>
      <c r="AQ233" s="2"/>
      <c r="AR233" s="2"/>
      <c r="AS233" s="2"/>
      <c r="AT233" s="2"/>
    </row>
    <row r="234" spans="22:46" ht="24.75" customHeight="1">
      <c r="V234" s="259" t="s">
        <v>971</v>
      </c>
      <c r="Z234" s="371" t="s">
        <v>793</v>
      </c>
      <c r="AA234" s="613">
        <v>0</v>
      </c>
      <c r="AB234" s="613">
        <v>0</v>
      </c>
      <c r="AC234" s="613">
        <v>0</v>
      </c>
      <c r="AD234" s="613">
        <v>15</v>
      </c>
      <c r="AE234" s="432"/>
      <c r="AF234" s="432"/>
      <c r="AG234" s="432"/>
      <c r="AH234" s="432"/>
      <c r="AI234" s="432"/>
      <c r="AJ234" s="613">
        <v>3</v>
      </c>
      <c r="AK234" s="613">
        <v>4</v>
      </c>
      <c r="AL234" s="2"/>
      <c r="AM234" s="2"/>
      <c r="AN234" s="2"/>
      <c r="AO234" s="2"/>
      <c r="AP234" s="2"/>
      <c r="AQ234" s="2"/>
      <c r="AR234" s="2"/>
      <c r="AS234" s="2"/>
      <c r="AT234" s="2"/>
    </row>
  </sheetData>
  <sheetProtection algorithmName="SHA-512" hashValue="W8A/3u4CJcaaRpAeHgbWvwsuAUga84JmSiYS4cpBWolUZ7aCnuNt5HImjfCEYAG1+JIOdqhoFZaDZGkUTQ0Yxw==" saltValue="lSkj3JOOvatK5X1CCWC++Q==" spinCount="100000" sheet="1" objects="1" scenarios="1"/>
  <autoFilter ref="A6:T7" xr:uid="{00000000-0001-0000-0100-000000000000}">
    <filterColumn colId="0" showButton="0"/>
    <filterColumn colId="1" showButton="0"/>
    <filterColumn colId="2" showButton="0"/>
    <filterColumn colId="4" showButton="0"/>
    <filterColumn colId="5" showButton="0"/>
    <filterColumn colId="6" showButton="0"/>
    <filterColumn colId="9" showButton="0"/>
    <filterColumn colId="10" showButton="0"/>
    <filterColumn colId="11" showButton="0"/>
  </autoFilter>
  <mergeCells count="522">
    <mergeCell ref="V128:V129"/>
    <mergeCell ref="N127:N132"/>
    <mergeCell ref="N106:N107"/>
    <mergeCell ref="K78:K79"/>
    <mergeCell ref="I72:I93"/>
    <mergeCell ref="Y111:Y121"/>
    <mergeCell ref="Y104:Y110"/>
    <mergeCell ref="I108:I109"/>
    <mergeCell ref="J108:J109"/>
    <mergeCell ref="K108:K109"/>
    <mergeCell ref="L108:L109"/>
    <mergeCell ref="M108:M109"/>
    <mergeCell ref="M94:M101"/>
    <mergeCell ref="M102:M103"/>
    <mergeCell ref="N71:N93"/>
    <mergeCell ref="O71:O93"/>
    <mergeCell ref="O94:O101"/>
    <mergeCell ref="N94:N101"/>
    <mergeCell ref="N102:N103"/>
    <mergeCell ref="O102:O103"/>
    <mergeCell ref="N104:N105"/>
    <mergeCell ref="O104:O105"/>
    <mergeCell ref="N122:N123"/>
    <mergeCell ref="N124:N125"/>
    <mergeCell ref="W8:W11"/>
    <mergeCell ref="X8:X11"/>
    <mergeCell ref="Y8:Y11"/>
    <mergeCell ref="Z8:Z11"/>
    <mergeCell ref="X12:X16"/>
    <mergeCell ref="Y12:Y16"/>
    <mergeCell ref="Z12:Z16"/>
    <mergeCell ref="W14:W16"/>
    <mergeCell ref="X17:X20"/>
    <mergeCell ref="W17:W20"/>
    <mergeCell ref="N111:N113"/>
    <mergeCell ref="N114:N121"/>
    <mergeCell ref="O114:O121"/>
    <mergeCell ref="O111:O113"/>
    <mergeCell ref="O122:O123"/>
    <mergeCell ref="M90:M91"/>
    <mergeCell ref="M115:M121"/>
    <mergeCell ref="M76:M77"/>
    <mergeCell ref="L76:L77"/>
    <mergeCell ref="M88:M89"/>
    <mergeCell ref="L90:L91"/>
    <mergeCell ref="M92:M93"/>
    <mergeCell ref="L106:L107"/>
    <mergeCell ref="M106:M107"/>
    <mergeCell ref="M111:M113"/>
    <mergeCell ref="L111:L113"/>
    <mergeCell ref="N48:N52"/>
    <mergeCell ref="O48:O52"/>
    <mergeCell ref="L48:L52"/>
    <mergeCell ref="M48:M52"/>
    <mergeCell ref="M74:M75"/>
    <mergeCell ref="L88:L89"/>
    <mergeCell ref="L62:L63"/>
    <mergeCell ref="M62:M63"/>
    <mergeCell ref="O56:O70"/>
    <mergeCell ref="M64:M68"/>
    <mergeCell ref="M82:M83"/>
    <mergeCell ref="M84:M85"/>
    <mergeCell ref="M86:M87"/>
    <mergeCell ref="M80:M81"/>
    <mergeCell ref="M78:M79"/>
    <mergeCell ref="L69:L70"/>
    <mergeCell ref="M69:M70"/>
    <mergeCell ref="L64:L68"/>
    <mergeCell ref="M71:M73"/>
    <mergeCell ref="L74:L75"/>
    <mergeCell ref="M56:M61"/>
    <mergeCell ref="O53:O54"/>
    <mergeCell ref="L78:L79"/>
    <mergeCell ref="AU172:AU185"/>
    <mergeCell ref="AU159:AU171"/>
    <mergeCell ref="O163:O164"/>
    <mergeCell ref="O159:O160"/>
    <mergeCell ref="O157:O158"/>
    <mergeCell ref="O154:O156"/>
    <mergeCell ref="O144:O146"/>
    <mergeCell ref="W133:W141"/>
    <mergeCell ref="X133:X141"/>
    <mergeCell ref="Y133:Y141"/>
    <mergeCell ref="Z133:Z141"/>
    <mergeCell ref="W142:W153"/>
    <mergeCell ref="AU154:AU158"/>
    <mergeCell ref="AU143:AU153"/>
    <mergeCell ref="AU133:AU142"/>
    <mergeCell ref="O141:O142"/>
    <mergeCell ref="O147:O148"/>
    <mergeCell ref="W172:W185"/>
    <mergeCell ref="X172:X185"/>
    <mergeCell ref="Y172:Y185"/>
    <mergeCell ref="Z172:Z185"/>
    <mergeCell ref="X142:X153"/>
    <mergeCell ref="Y142:Y153"/>
    <mergeCell ref="Z142:Z153"/>
    <mergeCell ref="AU127:AU132"/>
    <mergeCell ref="AU122:AU126"/>
    <mergeCell ref="AU41:AU55"/>
    <mergeCell ref="W111:W121"/>
    <mergeCell ref="X111:X121"/>
    <mergeCell ref="Z111:Z121"/>
    <mergeCell ref="W122:W126"/>
    <mergeCell ref="X122:X126"/>
    <mergeCell ref="X127:X132"/>
    <mergeCell ref="Y127:Y132"/>
    <mergeCell ref="Z127:Z132"/>
    <mergeCell ref="AU105:AU108"/>
    <mergeCell ref="AU57:AU102"/>
    <mergeCell ref="X94:X97"/>
    <mergeCell ref="Y94:Y97"/>
    <mergeCell ref="Z94:Z97"/>
    <mergeCell ref="W62:W93"/>
    <mergeCell ref="X62:X93"/>
    <mergeCell ref="Y62:Y93"/>
    <mergeCell ref="Z62:Z93"/>
    <mergeCell ref="W94:W97"/>
    <mergeCell ref="W56:W61"/>
    <mergeCell ref="O42:O47"/>
    <mergeCell ref="X56:X61"/>
    <mergeCell ref="Y56:Y61"/>
    <mergeCell ref="Z56:Z61"/>
    <mergeCell ref="AU113:AU121"/>
    <mergeCell ref="O106:O107"/>
    <mergeCell ref="O124:O125"/>
    <mergeCell ref="W40:W55"/>
    <mergeCell ref="X40:X55"/>
    <mergeCell ref="Y40:Y55"/>
    <mergeCell ref="Z40:Z55"/>
    <mergeCell ref="K84:K85"/>
    <mergeCell ref="L84:L85"/>
    <mergeCell ref="K86:K87"/>
    <mergeCell ref="L86:L87"/>
    <mergeCell ref="L80:L81"/>
    <mergeCell ref="G40:G47"/>
    <mergeCell ref="H40:H47"/>
    <mergeCell ref="G146:G153"/>
    <mergeCell ref="H146:H153"/>
    <mergeCell ref="L94:L101"/>
    <mergeCell ref="J62:J63"/>
    <mergeCell ref="G133:G138"/>
    <mergeCell ref="I94:I101"/>
    <mergeCell ref="I122:I126"/>
    <mergeCell ref="K48:K52"/>
    <mergeCell ref="K56:K61"/>
    <mergeCell ref="L56:L61"/>
    <mergeCell ref="J92:J93"/>
    <mergeCell ref="K92:K93"/>
    <mergeCell ref="L92:L93"/>
    <mergeCell ref="J88:J89"/>
    <mergeCell ref="H122:H123"/>
    <mergeCell ref="J102:J103"/>
    <mergeCell ref="L71:L73"/>
    <mergeCell ref="I183:I185"/>
    <mergeCell ref="E184:E185"/>
    <mergeCell ref="D183:D185"/>
    <mergeCell ref="C183:C185"/>
    <mergeCell ref="F184:F185"/>
    <mergeCell ref="G184:G185"/>
    <mergeCell ref="H184:H185"/>
    <mergeCell ref="G157:G158"/>
    <mergeCell ref="I147:I153"/>
    <mergeCell ref="H157:H158"/>
    <mergeCell ref="I34:I35"/>
    <mergeCell ref="E26:E27"/>
    <mergeCell ref="F26:F27"/>
    <mergeCell ref="G26:G27"/>
    <mergeCell ref="H26:H27"/>
    <mergeCell ref="O8:O11"/>
    <mergeCell ref="E8:E9"/>
    <mergeCell ref="F8:F9"/>
    <mergeCell ref="G8:G9"/>
    <mergeCell ref="H8:H9"/>
    <mergeCell ref="I17:I19"/>
    <mergeCell ref="O28:O29"/>
    <mergeCell ref="E13:E16"/>
    <mergeCell ref="F13:F16"/>
    <mergeCell ref="F17:F19"/>
    <mergeCell ref="G17:G19"/>
    <mergeCell ref="H17:H19"/>
    <mergeCell ref="K26:K27"/>
    <mergeCell ref="J21:J23"/>
    <mergeCell ref="K21:K23"/>
    <mergeCell ref="L21:L23"/>
    <mergeCell ref="F24:F25"/>
    <mergeCell ref="E24:E25"/>
    <mergeCell ref="O21:O23"/>
    <mergeCell ref="D21:D39"/>
    <mergeCell ref="G21:G23"/>
    <mergeCell ref="H21:H23"/>
    <mergeCell ref="G24:G25"/>
    <mergeCell ref="H24:H25"/>
    <mergeCell ref="E48:E52"/>
    <mergeCell ref="F48:F52"/>
    <mergeCell ref="G48:G52"/>
    <mergeCell ref="H48:H52"/>
    <mergeCell ref="F29:F39"/>
    <mergeCell ref="G29:G39"/>
    <mergeCell ref="H29:H39"/>
    <mergeCell ref="J104:J105"/>
    <mergeCell ref="C102:C108"/>
    <mergeCell ref="G56:G69"/>
    <mergeCell ref="H56:H69"/>
    <mergeCell ref="E94:E101"/>
    <mergeCell ref="F94:F101"/>
    <mergeCell ref="E105:E106"/>
    <mergeCell ref="F105:F106"/>
    <mergeCell ref="H105:H106"/>
    <mergeCell ref="E56:E69"/>
    <mergeCell ref="D56:D101"/>
    <mergeCell ref="F56:F69"/>
    <mergeCell ref="C56:C101"/>
    <mergeCell ref="D102:D108"/>
    <mergeCell ref="G75:G89"/>
    <mergeCell ref="G105:G106"/>
    <mergeCell ref="G94:G101"/>
    <mergeCell ref="H94:H101"/>
    <mergeCell ref="E75:E89"/>
    <mergeCell ref="F75:F89"/>
    <mergeCell ref="G127:G131"/>
    <mergeCell ref="H127:H131"/>
    <mergeCell ref="I127:I132"/>
    <mergeCell ref="H124:H126"/>
    <mergeCell ref="H75:H89"/>
    <mergeCell ref="E90:E93"/>
    <mergeCell ref="F90:F93"/>
    <mergeCell ref="G90:G93"/>
    <mergeCell ref="H90:H93"/>
    <mergeCell ref="E122:E123"/>
    <mergeCell ref="F122:F123"/>
    <mergeCell ref="E124:E126"/>
    <mergeCell ref="F124:F126"/>
    <mergeCell ref="G124:G126"/>
    <mergeCell ref="AS186:AT186"/>
    <mergeCell ref="AT6:AT7"/>
    <mergeCell ref="S6:S7"/>
    <mergeCell ref="T6:T7"/>
    <mergeCell ref="J6:M6"/>
    <mergeCell ref="P6:P7"/>
    <mergeCell ref="Q6:Q7"/>
    <mergeCell ref="U6:U7"/>
    <mergeCell ref="V6:V7"/>
    <mergeCell ref="W6:Z6"/>
    <mergeCell ref="AS6:AS7"/>
    <mergeCell ref="R6:R7"/>
    <mergeCell ref="L26:L27"/>
    <mergeCell ref="M26:M27"/>
    <mergeCell ref="O13:O16"/>
    <mergeCell ref="N13:N16"/>
    <mergeCell ref="O183:O185"/>
    <mergeCell ref="O176:O182"/>
    <mergeCell ref="M17:M18"/>
    <mergeCell ref="N17:N18"/>
    <mergeCell ref="J26:J27"/>
    <mergeCell ref="L133:L135"/>
    <mergeCell ref="J48:J52"/>
    <mergeCell ref="J56:J61"/>
    <mergeCell ref="B2:AT2"/>
    <mergeCell ref="A4:AT4"/>
    <mergeCell ref="C13:C16"/>
    <mergeCell ref="D13:D16"/>
    <mergeCell ref="I8:I11"/>
    <mergeCell ref="C17:C19"/>
    <mergeCell ref="A21:A55"/>
    <mergeCell ref="F53:F55"/>
    <mergeCell ref="G53:G55"/>
    <mergeCell ref="I53:I54"/>
    <mergeCell ref="H53:H55"/>
    <mergeCell ref="D41:D55"/>
    <mergeCell ref="E53:E55"/>
    <mergeCell ref="E21:E23"/>
    <mergeCell ref="F21:F23"/>
    <mergeCell ref="C21:C39"/>
    <mergeCell ref="B21:B55"/>
    <mergeCell ref="I21:I33"/>
    <mergeCell ref="I36:I39"/>
    <mergeCell ref="E29:E39"/>
    <mergeCell ref="D17:D20"/>
    <mergeCell ref="E40:E47"/>
    <mergeCell ref="F40:F47"/>
    <mergeCell ref="I48:I52"/>
    <mergeCell ref="AV1:AZ1"/>
    <mergeCell ref="A5:AT5"/>
    <mergeCell ref="G13:G16"/>
    <mergeCell ref="H13:H16"/>
    <mergeCell ref="I13:I16"/>
    <mergeCell ref="N8:N11"/>
    <mergeCell ref="N6:N7"/>
    <mergeCell ref="O6:O7"/>
    <mergeCell ref="A6:D6"/>
    <mergeCell ref="E6:H6"/>
    <mergeCell ref="D8:D11"/>
    <mergeCell ref="C8:C11"/>
    <mergeCell ref="J9:J10"/>
    <mergeCell ref="K9:K10"/>
    <mergeCell ref="L9:L10"/>
    <mergeCell ref="M9:M10"/>
    <mergeCell ref="AU8:AU11"/>
    <mergeCell ref="AU13:AU16"/>
    <mergeCell ref="AA6:AG6"/>
    <mergeCell ref="B1:AT1"/>
    <mergeCell ref="B8:B19"/>
    <mergeCell ref="A8:A19"/>
    <mergeCell ref="O17:O18"/>
    <mergeCell ref="A1:A3"/>
    <mergeCell ref="K115:K121"/>
    <mergeCell ref="L115:L121"/>
    <mergeCell ref="M21:M23"/>
    <mergeCell ref="N21:N23"/>
    <mergeCell ref="M38:M39"/>
    <mergeCell ref="J24:J25"/>
    <mergeCell ref="K24:K25"/>
    <mergeCell ref="L24:L25"/>
    <mergeCell ref="M24:M25"/>
    <mergeCell ref="J30:J31"/>
    <mergeCell ref="K30:K31"/>
    <mergeCell ref="L30:L31"/>
    <mergeCell ref="K46:K47"/>
    <mergeCell ref="L46:L47"/>
    <mergeCell ref="J41:J44"/>
    <mergeCell ref="K41:K44"/>
    <mergeCell ref="L41:L44"/>
    <mergeCell ref="M46:M47"/>
    <mergeCell ref="M41:M44"/>
    <mergeCell ref="K104:K105"/>
    <mergeCell ref="L104:L105"/>
    <mergeCell ref="K94:K101"/>
    <mergeCell ref="K76:K77"/>
    <mergeCell ref="L82:L83"/>
    <mergeCell ref="AU17:AU19"/>
    <mergeCell ref="Y17:Y20"/>
    <mergeCell ref="Z17:Z20"/>
    <mergeCell ref="AS17:AS18"/>
    <mergeCell ref="AT17:AT18"/>
    <mergeCell ref="AS19:AS20"/>
    <mergeCell ref="AT19:AT20"/>
    <mergeCell ref="W21:W39"/>
    <mergeCell ref="X21:X39"/>
    <mergeCell ref="Y21:Y39"/>
    <mergeCell ref="Z21:Z39"/>
    <mergeCell ref="AU21:AU39"/>
    <mergeCell ref="A110:A132"/>
    <mergeCell ref="B110:B132"/>
    <mergeCell ref="J64:J68"/>
    <mergeCell ref="J69:J70"/>
    <mergeCell ref="J74:J75"/>
    <mergeCell ref="J76:J77"/>
    <mergeCell ref="J78:J79"/>
    <mergeCell ref="J80:J81"/>
    <mergeCell ref="J82:J83"/>
    <mergeCell ref="J71:J73"/>
    <mergeCell ref="C111:C121"/>
    <mergeCell ref="D111:D121"/>
    <mergeCell ref="E111:E121"/>
    <mergeCell ref="F111:F121"/>
    <mergeCell ref="G111:G121"/>
    <mergeCell ref="H111:H121"/>
    <mergeCell ref="I111:I121"/>
    <mergeCell ref="C122:C126"/>
    <mergeCell ref="J106:J107"/>
    <mergeCell ref="J111:J113"/>
    <mergeCell ref="J115:J121"/>
    <mergeCell ref="E127:E131"/>
    <mergeCell ref="F127:F131"/>
    <mergeCell ref="D127:D132"/>
    <mergeCell ref="B3:AT3"/>
    <mergeCell ref="O30:O32"/>
    <mergeCell ref="J17:J18"/>
    <mergeCell ref="K17:K18"/>
    <mergeCell ref="L17:L18"/>
    <mergeCell ref="O26:O27"/>
    <mergeCell ref="C40:C55"/>
    <mergeCell ref="K102:K103"/>
    <mergeCell ref="L102:L103"/>
    <mergeCell ref="J38:J39"/>
    <mergeCell ref="K38:K39"/>
    <mergeCell ref="O24:O25"/>
    <mergeCell ref="L38:L39"/>
    <mergeCell ref="M30:M31"/>
    <mergeCell ref="N28:N29"/>
    <mergeCell ref="N30:N31"/>
    <mergeCell ref="N24:N25"/>
    <mergeCell ref="N26:N27"/>
    <mergeCell ref="I56:I69"/>
    <mergeCell ref="J46:J47"/>
    <mergeCell ref="J94:J101"/>
    <mergeCell ref="I40:I47"/>
    <mergeCell ref="J84:J85"/>
    <mergeCell ref="J90:J91"/>
    <mergeCell ref="A154:A158"/>
    <mergeCell ref="B154:B158"/>
    <mergeCell ref="A133:A153"/>
    <mergeCell ref="B133:B153"/>
    <mergeCell ref="A56:A108"/>
    <mergeCell ref="B56:B108"/>
    <mergeCell ref="J141:J142"/>
    <mergeCell ref="K141:K142"/>
    <mergeCell ref="J86:J87"/>
    <mergeCell ref="K80:K81"/>
    <mergeCell ref="I154:I156"/>
    <mergeCell ref="C154:C156"/>
    <mergeCell ref="D154:D156"/>
    <mergeCell ref="C157:C158"/>
    <mergeCell ref="D157:D158"/>
    <mergeCell ref="I157:I158"/>
    <mergeCell ref="K69:K70"/>
    <mergeCell ref="K71:K73"/>
    <mergeCell ref="K74:K75"/>
    <mergeCell ref="K88:K89"/>
    <mergeCell ref="K90:K91"/>
    <mergeCell ref="K82:K83"/>
    <mergeCell ref="K62:K63"/>
    <mergeCell ref="K64:K68"/>
    <mergeCell ref="Q191:R191"/>
    <mergeCell ref="A159:A171"/>
    <mergeCell ref="B159:B171"/>
    <mergeCell ref="K159:K162"/>
    <mergeCell ref="L159:L162"/>
    <mergeCell ref="J163:J164"/>
    <mergeCell ref="A172:A185"/>
    <mergeCell ref="O170:O171"/>
    <mergeCell ref="O165:O169"/>
    <mergeCell ref="D159:D171"/>
    <mergeCell ref="J165:J171"/>
    <mergeCell ref="F159:F171"/>
    <mergeCell ref="I159:I171"/>
    <mergeCell ref="B172:B185"/>
    <mergeCell ref="C172:C173"/>
    <mergeCell ref="E176:E182"/>
    <mergeCell ref="F176:F182"/>
    <mergeCell ref="G176:G182"/>
    <mergeCell ref="H176:H182"/>
    <mergeCell ref="I174:I182"/>
    <mergeCell ref="D174:D182"/>
    <mergeCell ref="C174:C182"/>
    <mergeCell ref="D172:D173"/>
    <mergeCell ref="I172:I173"/>
    <mergeCell ref="P196:P199"/>
    <mergeCell ref="J203:J206"/>
    <mergeCell ref="O161:O162"/>
    <mergeCell ref="C159:C171"/>
    <mergeCell ref="J159:J162"/>
    <mergeCell ref="H159:H171"/>
    <mergeCell ref="G159:G171"/>
    <mergeCell ref="E159:E171"/>
    <mergeCell ref="G143:G144"/>
    <mergeCell ref="H143:H144"/>
    <mergeCell ref="C143:C153"/>
    <mergeCell ref="K163:K164"/>
    <mergeCell ref="M159:M162"/>
    <mergeCell ref="L163:L164"/>
    <mergeCell ref="M163:M164"/>
    <mergeCell ref="N163:N164"/>
    <mergeCell ref="K165:K171"/>
    <mergeCell ref="J143:J146"/>
    <mergeCell ref="I143:I146"/>
    <mergeCell ref="J154:J156"/>
    <mergeCell ref="E157:E158"/>
    <mergeCell ref="F157:F158"/>
    <mergeCell ref="E146:E153"/>
    <mergeCell ref="E143:E144"/>
    <mergeCell ref="K111:K113"/>
    <mergeCell ref="C133:C142"/>
    <mergeCell ref="C127:C132"/>
    <mergeCell ref="M133:M135"/>
    <mergeCell ref="J147:J153"/>
    <mergeCell ref="K147:K153"/>
    <mergeCell ref="J133:J135"/>
    <mergeCell ref="D122:D126"/>
    <mergeCell ref="G122:G123"/>
    <mergeCell ref="D143:D153"/>
    <mergeCell ref="K133:K135"/>
    <mergeCell ref="E139:E142"/>
    <mergeCell ref="D133:D142"/>
    <mergeCell ref="I141:I142"/>
    <mergeCell ref="J136:J137"/>
    <mergeCell ref="I133:I140"/>
    <mergeCell ref="E133:E138"/>
    <mergeCell ref="F133:F138"/>
    <mergeCell ref="F139:F142"/>
    <mergeCell ref="G139:G142"/>
    <mergeCell ref="H139:H142"/>
    <mergeCell ref="H133:H138"/>
    <mergeCell ref="F146:F153"/>
    <mergeCell ref="F143:F144"/>
    <mergeCell ref="Z154:Z158"/>
    <mergeCell ref="Y154:Y158"/>
    <mergeCell ref="X104:X110"/>
    <mergeCell ref="W159:W171"/>
    <mergeCell ref="X159:X171"/>
    <mergeCell ref="Y159:Y171"/>
    <mergeCell ref="Z159:Z171"/>
    <mergeCell ref="L165:L171"/>
    <mergeCell ref="M165:M171"/>
    <mergeCell ref="N165:N169"/>
    <mergeCell ref="O139:O140"/>
    <mergeCell ref="O133:O138"/>
    <mergeCell ref="M141:M142"/>
    <mergeCell ref="M147:M153"/>
    <mergeCell ref="M136:M137"/>
    <mergeCell ref="M143:M146"/>
    <mergeCell ref="L154:L156"/>
    <mergeCell ref="L141:L142"/>
    <mergeCell ref="L136:L137"/>
    <mergeCell ref="M104:M105"/>
    <mergeCell ref="Y122:Y126"/>
    <mergeCell ref="Z122:Z126"/>
    <mergeCell ref="W127:W132"/>
    <mergeCell ref="O127:O132"/>
    <mergeCell ref="X154:X156"/>
    <mergeCell ref="O149:O151"/>
    <mergeCell ref="K136:K137"/>
    <mergeCell ref="K143:K146"/>
    <mergeCell ref="K154:K156"/>
    <mergeCell ref="W154:W156"/>
    <mergeCell ref="N133:N138"/>
    <mergeCell ref="N141:N142"/>
    <mergeCell ref="N139:N140"/>
    <mergeCell ref="M154:M156"/>
    <mergeCell ref="L147:L153"/>
    <mergeCell ref="L143:L146"/>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EA714-882D-4370-875A-669473EFC356}">
  <dimension ref="A1:M38"/>
  <sheetViews>
    <sheetView topLeftCell="A10" workbookViewId="0">
      <selection activeCell="C18" sqref="C18"/>
    </sheetView>
  </sheetViews>
  <sheetFormatPr baseColWidth="10" defaultRowHeight="15"/>
  <cols>
    <col min="1" max="1" width="15.7109375" customWidth="1"/>
    <col min="2" max="2" width="41.140625" customWidth="1"/>
    <col min="3" max="3" width="35.140625" customWidth="1"/>
    <col min="4" max="4" width="36.42578125" customWidth="1"/>
    <col min="5" max="5" width="19" customWidth="1"/>
    <col min="6" max="6" width="22.28515625" customWidth="1"/>
    <col min="7" max="9" width="19.140625" hidden="1" customWidth="1"/>
    <col min="10" max="10" width="23.140625" customWidth="1"/>
    <col min="11" max="11" width="20.85546875" customWidth="1"/>
    <col min="12" max="12" width="37.5703125" customWidth="1"/>
  </cols>
  <sheetData>
    <row r="1" spans="1:13" ht="54">
      <c r="A1" s="615" t="s">
        <v>1150</v>
      </c>
      <c r="B1" s="618" t="s">
        <v>793</v>
      </c>
      <c r="C1" s="618" t="s">
        <v>794</v>
      </c>
      <c r="D1" s="615" t="s">
        <v>1179</v>
      </c>
      <c r="E1" s="615" t="s">
        <v>1175</v>
      </c>
      <c r="F1" s="619" t="s">
        <v>1174</v>
      </c>
      <c r="G1" s="619" t="s">
        <v>662</v>
      </c>
      <c r="H1" s="619" t="s">
        <v>663</v>
      </c>
      <c r="I1" s="619" t="s">
        <v>664</v>
      </c>
      <c r="J1" s="615" t="s">
        <v>1177</v>
      </c>
      <c r="K1" s="664" t="s">
        <v>1176</v>
      </c>
      <c r="L1" s="615" t="s">
        <v>1180</v>
      </c>
    </row>
    <row r="2" spans="1:13">
      <c r="A2" s="259" t="s">
        <v>969</v>
      </c>
      <c r="B2" s="372">
        <v>0</v>
      </c>
      <c r="C2" s="372">
        <v>0</v>
      </c>
      <c r="D2" s="372">
        <f>C2+B2</f>
        <v>0</v>
      </c>
      <c r="E2" s="372">
        <v>0</v>
      </c>
      <c r="F2" s="372">
        <v>0</v>
      </c>
      <c r="G2" s="372"/>
      <c r="H2" s="372"/>
      <c r="I2" s="372"/>
      <c r="J2" s="372">
        <f>E2+F2</f>
        <v>0</v>
      </c>
      <c r="K2" s="665" t="e">
        <f>J2/B2</f>
        <v>#DIV/0!</v>
      </c>
      <c r="L2" s="509"/>
    </row>
    <row r="3" spans="1:13">
      <c r="A3" s="259" t="s">
        <v>970</v>
      </c>
      <c r="B3" s="372">
        <v>6</v>
      </c>
      <c r="C3" s="372">
        <v>0</v>
      </c>
      <c r="D3" s="372">
        <f t="shared" ref="D3:D4" si="0">C3+B3</f>
        <v>6</v>
      </c>
      <c r="E3" s="372">
        <v>6</v>
      </c>
      <c r="F3" s="372">
        <v>0</v>
      </c>
      <c r="G3" s="372"/>
      <c r="H3" s="372"/>
      <c r="I3" s="372"/>
      <c r="J3" s="372">
        <f t="shared" ref="J3:J4" si="1">E3+F3</f>
        <v>6</v>
      </c>
      <c r="K3" s="337">
        <f t="shared" ref="K3:K4" si="2">J3/B3</f>
        <v>1</v>
      </c>
      <c r="L3" s="509"/>
    </row>
    <row r="4" spans="1:13">
      <c r="A4" s="259" t="s">
        <v>971</v>
      </c>
      <c r="B4" s="372">
        <v>4</v>
      </c>
      <c r="C4" s="372">
        <v>0</v>
      </c>
      <c r="D4" s="372">
        <f t="shared" si="0"/>
        <v>4</v>
      </c>
      <c r="E4" s="372">
        <v>6</v>
      </c>
      <c r="F4" s="372">
        <v>0</v>
      </c>
      <c r="G4" s="372"/>
      <c r="H4" s="372"/>
      <c r="I4" s="372"/>
      <c r="J4" s="372">
        <f t="shared" si="1"/>
        <v>6</v>
      </c>
      <c r="K4" s="337">
        <f t="shared" si="2"/>
        <v>1.5</v>
      </c>
      <c r="L4" s="509"/>
    </row>
    <row r="5" spans="1:13" ht="15.75" thickBot="1">
      <c r="A5" s="3"/>
      <c r="B5" s="7"/>
      <c r="C5" s="7"/>
      <c r="D5" s="7"/>
      <c r="E5" s="7"/>
      <c r="F5" s="7"/>
      <c r="G5" s="7"/>
      <c r="H5" s="7"/>
      <c r="I5" s="7"/>
      <c r="J5" s="7"/>
    </row>
    <row r="6" spans="1:13" ht="54">
      <c r="A6" s="615" t="s">
        <v>1153</v>
      </c>
      <c r="B6" s="618" t="s">
        <v>793</v>
      </c>
      <c r="C6" s="618" t="s">
        <v>794</v>
      </c>
      <c r="D6" s="615" t="s">
        <v>1179</v>
      </c>
      <c r="E6" s="615" t="s">
        <v>1175</v>
      </c>
      <c r="F6" s="619" t="s">
        <v>1174</v>
      </c>
      <c r="G6" s="619" t="s">
        <v>662</v>
      </c>
      <c r="H6" s="619" t="s">
        <v>663</v>
      </c>
      <c r="I6" s="619" t="s">
        <v>664</v>
      </c>
      <c r="J6" s="615" t="s">
        <v>1178</v>
      </c>
      <c r="K6" s="664" t="s">
        <v>1176</v>
      </c>
      <c r="L6" s="615" t="s">
        <v>1180</v>
      </c>
    </row>
    <row r="7" spans="1:13">
      <c r="A7" s="259" t="s">
        <v>969</v>
      </c>
      <c r="B7" s="372">
        <v>161</v>
      </c>
      <c r="C7" s="372">
        <v>11</v>
      </c>
      <c r="D7" s="372">
        <f>B7+C7</f>
        <v>172</v>
      </c>
      <c r="E7" s="372">
        <v>161</v>
      </c>
      <c r="F7" s="372">
        <v>11</v>
      </c>
      <c r="G7" s="372"/>
      <c r="H7" s="372"/>
      <c r="I7" s="372"/>
      <c r="J7" s="372">
        <f>F7+E7</f>
        <v>172</v>
      </c>
      <c r="K7" s="337">
        <f>J7/D7</f>
        <v>1</v>
      </c>
      <c r="L7" s="509"/>
    </row>
    <row r="8" spans="1:13">
      <c r="A8" s="259" t="s">
        <v>970</v>
      </c>
      <c r="B8" s="372">
        <v>24</v>
      </c>
      <c r="C8" s="372">
        <v>0</v>
      </c>
      <c r="D8" s="372">
        <f>B8+C8</f>
        <v>24</v>
      </c>
      <c r="E8" s="372">
        <v>24</v>
      </c>
      <c r="F8" s="372">
        <v>0</v>
      </c>
      <c r="G8" s="372"/>
      <c r="H8" s="372"/>
      <c r="I8" s="372"/>
      <c r="J8" s="372">
        <f>F8+E8</f>
        <v>24</v>
      </c>
      <c r="K8" s="337">
        <f>J8/D8</f>
        <v>1</v>
      </c>
      <c r="L8" s="509"/>
    </row>
    <row r="9" spans="1:13">
      <c r="A9" s="3"/>
      <c r="B9" s="7"/>
      <c r="C9" s="1"/>
      <c r="D9" s="1"/>
      <c r="E9" s="1"/>
      <c r="F9" s="1"/>
      <c r="G9" s="1"/>
      <c r="H9" s="1"/>
      <c r="I9" s="1"/>
      <c r="J9" s="1"/>
    </row>
    <row r="10" spans="1:13" ht="15.75" thickBot="1">
      <c r="A10" s="3"/>
      <c r="B10" s="7"/>
      <c r="C10" s="1"/>
      <c r="D10" s="1"/>
      <c r="E10" s="1"/>
      <c r="F10" s="1"/>
      <c r="G10" s="1"/>
      <c r="H10" s="1"/>
      <c r="I10" s="1"/>
      <c r="J10" s="1"/>
    </row>
    <row r="11" spans="1:13" ht="54">
      <c r="A11" s="615" t="s">
        <v>1154</v>
      </c>
      <c r="B11" s="618" t="s">
        <v>793</v>
      </c>
      <c r="C11" s="618" t="s">
        <v>794</v>
      </c>
      <c r="D11" s="615" t="s">
        <v>1179</v>
      </c>
      <c r="E11" s="615" t="s">
        <v>1175</v>
      </c>
      <c r="F11" s="619" t="s">
        <v>1174</v>
      </c>
      <c r="G11" s="619" t="s">
        <v>662</v>
      </c>
      <c r="H11" s="619" t="s">
        <v>663</v>
      </c>
      <c r="I11" s="619" t="s">
        <v>664</v>
      </c>
      <c r="J11" s="615" t="s">
        <v>1173</v>
      </c>
      <c r="K11" s="664" t="s">
        <v>1176</v>
      </c>
      <c r="L11" s="615" t="s">
        <v>1180</v>
      </c>
    </row>
    <row r="12" spans="1:13" ht="33.75" customHeight="1">
      <c r="A12" s="259" t="s">
        <v>969</v>
      </c>
      <c r="B12" s="372">
        <v>3354</v>
      </c>
      <c r="C12" s="372">
        <v>13</v>
      </c>
      <c r="D12" s="372">
        <f>B12+C12</f>
        <v>3367</v>
      </c>
      <c r="E12" s="372">
        <v>3308</v>
      </c>
      <c r="F12" s="372">
        <v>13</v>
      </c>
      <c r="G12" s="372"/>
      <c r="H12" s="372"/>
      <c r="I12" s="372"/>
      <c r="J12" s="372">
        <f>F12+E12</f>
        <v>3321</v>
      </c>
      <c r="K12" s="337">
        <f>J12/D12</f>
        <v>0.98633798633798631</v>
      </c>
      <c r="L12" s="667" t="s">
        <v>1181</v>
      </c>
      <c r="M12">
        <f>D12-E12</f>
        <v>59</v>
      </c>
    </row>
    <row r="13" spans="1:13">
      <c r="A13" s="259" t="s">
        <v>970</v>
      </c>
      <c r="B13" s="372">
        <v>3</v>
      </c>
      <c r="C13" s="372">
        <v>1</v>
      </c>
      <c r="D13" s="372">
        <f>B13+C13</f>
        <v>4</v>
      </c>
      <c r="E13" s="372">
        <v>2</v>
      </c>
      <c r="F13" s="372">
        <v>1</v>
      </c>
      <c r="G13" s="372"/>
      <c r="H13" s="372"/>
      <c r="I13" s="372"/>
      <c r="J13" s="372">
        <f>F13+E13</f>
        <v>3</v>
      </c>
      <c r="K13" s="337">
        <f>J13/D13</f>
        <v>0.75</v>
      </c>
      <c r="L13" s="509"/>
    </row>
    <row r="14" spans="1:13">
      <c r="A14" s="3"/>
      <c r="B14" s="7"/>
      <c r="C14" s="2"/>
      <c r="D14" s="2"/>
      <c r="E14" s="2"/>
      <c r="F14" s="2"/>
      <c r="G14" s="2"/>
      <c r="H14" s="2"/>
      <c r="I14" s="2"/>
      <c r="J14" s="2"/>
    </row>
    <row r="15" spans="1:13" ht="15.75" thickBot="1">
      <c r="A15" s="3"/>
      <c r="B15" s="7"/>
      <c r="C15" s="2"/>
      <c r="D15" s="2"/>
      <c r="E15" s="2"/>
      <c r="F15" s="2"/>
      <c r="G15" s="2"/>
      <c r="H15" s="2"/>
      <c r="I15" s="2"/>
      <c r="J15" s="2"/>
    </row>
    <row r="16" spans="1:13" ht="54">
      <c r="A16" s="615" t="s">
        <v>1155</v>
      </c>
      <c r="B16" s="618" t="s">
        <v>793</v>
      </c>
      <c r="C16" s="618" t="s">
        <v>794</v>
      </c>
      <c r="D16" s="615" t="s">
        <v>1179</v>
      </c>
      <c r="E16" s="615" t="s">
        <v>1175</v>
      </c>
      <c r="F16" s="619" t="s">
        <v>1174</v>
      </c>
      <c r="G16" s="619" t="s">
        <v>662</v>
      </c>
      <c r="H16" s="619" t="s">
        <v>663</v>
      </c>
      <c r="I16" s="619" t="s">
        <v>664</v>
      </c>
      <c r="J16" s="615" t="s">
        <v>661</v>
      </c>
      <c r="K16" s="664" t="s">
        <v>1176</v>
      </c>
      <c r="L16" s="615" t="s">
        <v>1180</v>
      </c>
    </row>
    <row r="17" spans="1:12">
      <c r="A17" s="259" t="s">
        <v>969</v>
      </c>
      <c r="B17" s="372">
        <v>0</v>
      </c>
      <c r="C17" s="372">
        <v>0</v>
      </c>
      <c r="D17" s="372">
        <v>0</v>
      </c>
      <c r="E17" s="372">
        <v>0</v>
      </c>
      <c r="F17" s="372">
        <v>0</v>
      </c>
      <c r="G17" s="372"/>
      <c r="H17" s="372"/>
      <c r="I17" s="372"/>
      <c r="J17" s="372">
        <v>0</v>
      </c>
      <c r="K17" s="337" t="e">
        <f>J17/D17</f>
        <v>#DIV/0!</v>
      </c>
      <c r="L17" s="509"/>
    </row>
    <row r="18" spans="1:12">
      <c r="A18" s="259" t="s">
        <v>970</v>
      </c>
      <c r="B18" s="372">
        <v>2</v>
      </c>
      <c r="C18" s="372">
        <v>3</v>
      </c>
      <c r="D18" s="372">
        <f>C18+B18</f>
        <v>5</v>
      </c>
      <c r="E18" s="372">
        <v>1</v>
      </c>
      <c r="F18" s="372">
        <v>3</v>
      </c>
      <c r="G18" s="372"/>
      <c r="H18" s="372"/>
      <c r="I18" s="372"/>
      <c r="J18" s="372">
        <f>F18+E18</f>
        <v>4</v>
      </c>
      <c r="K18" s="337">
        <f>J18/D18</f>
        <v>0.8</v>
      </c>
      <c r="L18" s="509"/>
    </row>
    <row r="19" spans="1:12">
      <c r="A19" s="259" t="s">
        <v>971</v>
      </c>
      <c r="B19" s="372">
        <v>8</v>
      </c>
      <c r="C19" s="372">
        <v>3</v>
      </c>
      <c r="D19" s="372">
        <f>C19+B19</f>
        <v>11</v>
      </c>
      <c r="E19" s="372">
        <v>8</v>
      </c>
      <c r="F19" s="372">
        <v>3</v>
      </c>
      <c r="G19" s="372"/>
      <c r="H19" s="372"/>
      <c r="I19" s="372"/>
      <c r="J19" s="372">
        <f>F19+E19</f>
        <v>11</v>
      </c>
      <c r="K19" s="337">
        <f>J19/D19</f>
        <v>1</v>
      </c>
      <c r="L19" s="509"/>
    </row>
    <row r="20" spans="1:12">
      <c r="A20" s="259" t="s">
        <v>972</v>
      </c>
      <c r="B20" s="372">
        <v>104</v>
      </c>
      <c r="C20" s="372">
        <v>0</v>
      </c>
      <c r="D20" s="372">
        <v>104</v>
      </c>
      <c r="E20" s="372">
        <v>102</v>
      </c>
      <c r="F20" s="372">
        <v>0</v>
      </c>
      <c r="G20" s="372"/>
      <c r="H20" s="372"/>
      <c r="I20" s="372"/>
      <c r="J20" s="372">
        <f>F20+E20</f>
        <v>102</v>
      </c>
      <c r="K20" s="337">
        <f>J20/D20</f>
        <v>0.98076923076923073</v>
      </c>
      <c r="L20" s="509"/>
    </row>
    <row r="21" spans="1:12" ht="15.75" thickBot="1">
      <c r="A21" s="3"/>
      <c r="B21" s="7"/>
      <c r="C21" s="2"/>
      <c r="D21" s="2"/>
      <c r="E21" s="2"/>
      <c r="F21" s="2"/>
      <c r="G21" s="2"/>
      <c r="H21" s="2"/>
      <c r="I21" s="2"/>
      <c r="J21" s="2"/>
    </row>
    <row r="22" spans="1:12" ht="54">
      <c r="A22" s="615" t="s">
        <v>1156</v>
      </c>
      <c r="B22" s="618" t="s">
        <v>793</v>
      </c>
      <c r="C22" s="618" t="s">
        <v>794</v>
      </c>
      <c r="D22" s="615" t="s">
        <v>1179</v>
      </c>
      <c r="E22" s="615" t="s">
        <v>1175</v>
      </c>
      <c r="F22" s="619" t="s">
        <v>1174</v>
      </c>
      <c r="G22" s="619" t="s">
        <v>662</v>
      </c>
      <c r="H22" s="619" t="s">
        <v>663</v>
      </c>
      <c r="I22" s="619" t="s">
        <v>664</v>
      </c>
      <c r="J22" s="615" t="s">
        <v>661</v>
      </c>
      <c r="K22" s="664" t="s">
        <v>1176</v>
      </c>
      <c r="L22" s="615" t="s">
        <v>1180</v>
      </c>
    </row>
    <row r="23" spans="1:12" ht="18">
      <c r="A23" s="259" t="s">
        <v>969</v>
      </c>
      <c r="B23" s="372">
        <v>20</v>
      </c>
      <c r="C23" s="642">
        <v>0</v>
      </c>
      <c r="D23" s="642">
        <v>20</v>
      </c>
      <c r="E23" s="642">
        <v>20</v>
      </c>
      <c r="F23" s="372">
        <v>0</v>
      </c>
      <c r="G23" s="613"/>
      <c r="H23" s="614"/>
      <c r="I23" s="613"/>
      <c r="J23" s="372">
        <f>F23+E23</f>
        <v>20</v>
      </c>
      <c r="K23" s="337">
        <f>J23/D23</f>
        <v>1</v>
      </c>
      <c r="L23" s="509"/>
    </row>
    <row r="24" spans="1:12">
      <c r="A24" s="259" t="s">
        <v>970</v>
      </c>
      <c r="B24" s="372">
        <v>25</v>
      </c>
      <c r="C24" s="642">
        <v>0</v>
      </c>
      <c r="D24" s="642">
        <v>25</v>
      </c>
      <c r="E24" s="642">
        <v>25</v>
      </c>
      <c r="F24" s="642">
        <v>0</v>
      </c>
      <c r="G24" s="642"/>
      <c r="H24" s="642"/>
      <c r="I24" s="642"/>
      <c r="J24" s="372">
        <f>F24+E24</f>
        <v>25</v>
      </c>
      <c r="K24" s="337">
        <f>J24/D24</f>
        <v>1</v>
      </c>
      <c r="L24" s="509"/>
    </row>
    <row r="25" spans="1:12" ht="15.75" thickBot="1">
      <c r="A25" s="3"/>
      <c r="B25" s="7"/>
      <c r="C25" s="2"/>
      <c r="D25" s="2"/>
      <c r="E25" s="2"/>
      <c r="F25" s="2"/>
      <c r="G25" s="2"/>
      <c r="H25" s="2"/>
      <c r="I25" s="2"/>
      <c r="J25" s="2"/>
    </row>
    <row r="26" spans="1:12" ht="54">
      <c r="A26" s="615" t="s">
        <v>1157</v>
      </c>
      <c r="B26" s="618" t="s">
        <v>793</v>
      </c>
      <c r="C26" s="618" t="s">
        <v>794</v>
      </c>
      <c r="D26" s="615" t="s">
        <v>1152</v>
      </c>
      <c r="E26" s="615" t="s">
        <v>1175</v>
      </c>
      <c r="F26" s="619" t="s">
        <v>1174</v>
      </c>
      <c r="G26" s="619" t="s">
        <v>662</v>
      </c>
      <c r="H26" s="619" t="s">
        <v>663</v>
      </c>
      <c r="I26" s="619" t="s">
        <v>664</v>
      </c>
      <c r="J26" s="615" t="s">
        <v>661</v>
      </c>
      <c r="K26" s="615" t="s">
        <v>1176</v>
      </c>
      <c r="L26" s="615" t="s">
        <v>1180</v>
      </c>
    </row>
    <row r="27" spans="1:12">
      <c r="A27" s="259" t="s">
        <v>969</v>
      </c>
      <c r="B27" s="372">
        <v>1</v>
      </c>
      <c r="C27" s="372">
        <v>0</v>
      </c>
      <c r="D27" s="642">
        <v>1</v>
      </c>
      <c r="E27" s="642">
        <v>0</v>
      </c>
      <c r="F27" s="642">
        <v>0</v>
      </c>
      <c r="G27" s="642"/>
      <c r="H27" s="642"/>
      <c r="I27" s="642"/>
      <c r="J27" s="642">
        <f>F27+E27</f>
        <v>0</v>
      </c>
      <c r="K27" s="337">
        <f>J27/D27</f>
        <v>0</v>
      </c>
      <c r="L27" s="509"/>
    </row>
    <row r="28" spans="1:12">
      <c r="A28" s="259" t="s">
        <v>970</v>
      </c>
      <c r="B28" s="372">
        <v>1</v>
      </c>
      <c r="C28" s="642">
        <v>0</v>
      </c>
      <c r="D28" s="642">
        <v>1</v>
      </c>
      <c r="E28" s="642">
        <v>1</v>
      </c>
      <c r="F28" s="642">
        <v>0</v>
      </c>
      <c r="G28" s="642"/>
      <c r="H28" s="642"/>
      <c r="I28" s="642"/>
      <c r="J28" s="642">
        <f>F28+E28</f>
        <v>1</v>
      </c>
      <c r="K28" s="337">
        <f>J28/D28</f>
        <v>1</v>
      </c>
      <c r="L28" s="509"/>
    </row>
    <row r="29" spans="1:12">
      <c r="A29" s="3"/>
      <c r="B29" s="7"/>
      <c r="C29" s="2"/>
      <c r="D29" s="2"/>
      <c r="E29" s="2"/>
      <c r="F29" s="2"/>
      <c r="G29" s="2"/>
      <c r="H29" s="2"/>
      <c r="I29" s="2"/>
      <c r="J29" s="2"/>
    </row>
    <row r="30" spans="1:12" ht="15.75" thickBot="1">
      <c r="A30" s="3"/>
      <c r="B30" s="7"/>
      <c r="C30" s="2"/>
      <c r="D30" s="2"/>
      <c r="E30" s="2"/>
      <c r="F30" s="2"/>
      <c r="G30" s="2"/>
      <c r="H30" s="2"/>
      <c r="I30" s="2"/>
      <c r="J30" s="2"/>
    </row>
    <row r="31" spans="1:12" ht="54">
      <c r="A31" s="615" t="s">
        <v>1158</v>
      </c>
      <c r="B31" s="618" t="s">
        <v>793</v>
      </c>
      <c r="C31" s="618" t="s">
        <v>794</v>
      </c>
      <c r="D31" s="615" t="s">
        <v>1179</v>
      </c>
      <c r="E31" s="615" t="s">
        <v>1175</v>
      </c>
      <c r="F31" s="619" t="s">
        <v>1174</v>
      </c>
      <c r="G31" s="619" t="s">
        <v>662</v>
      </c>
      <c r="H31" s="619" t="s">
        <v>663</v>
      </c>
      <c r="I31" s="619" t="s">
        <v>664</v>
      </c>
      <c r="J31" s="615" t="s">
        <v>1173</v>
      </c>
      <c r="K31" s="615" t="s">
        <v>1176</v>
      </c>
      <c r="L31" s="615" t="s">
        <v>1180</v>
      </c>
    </row>
    <row r="32" spans="1:12">
      <c r="A32" s="259" t="s">
        <v>969</v>
      </c>
      <c r="B32" s="372">
        <v>14</v>
      </c>
      <c r="C32" s="642">
        <v>1</v>
      </c>
      <c r="D32" s="642">
        <f>C32+B32</f>
        <v>15</v>
      </c>
      <c r="E32" s="642">
        <v>2</v>
      </c>
      <c r="F32" s="642">
        <v>1</v>
      </c>
      <c r="G32" s="642"/>
      <c r="H32" s="642"/>
      <c r="I32" s="642"/>
      <c r="J32" s="642">
        <f>F32+E32</f>
        <v>3</v>
      </c>
      <c r="K32" s="337">
        <f>J32/D32</f>
        <v>0.2</v>
      </c>
      <c r="L32" s="509"/>
    </row>
    <row r="33" spans="1:12">
      <c r="A33" s="3"/>
      <c r="B33" s="7"/>
      <c r="C33" s="2"/>
      <c r="D33" s="2"/>
      <c r="E33" s="2"/>
      <c r="F33" s="2"/>
      <c r="G33" s="2"/>
      <c r="H33" s="2"/>
      <c r="I33" s="2"/>
      <c r="J33" s="2"/>
    </row>
    <row r="34" spans="1:12" ht="15.75" thickBot="1">
      <c r="A34" s="3"/>
      <c r="B34" s="7"/>
      <c r="C34" s="2"/>
      <c r="D34" s="2"/>
      <c r="E34" s="2"/>
      <c r="F34" s="2"/>
      <c r="G34" s="2"/>
      <c r="H34" s="2"/>
      <c r="I34" s="2"/>
      <c r="J34" s="2"/>
    </row>
    <row r="35" spans="1:12" ht="54">
      <c r="A35" s="615" t="s">
        <v>1159</v>
      </c>
      <c r="B35" s="618" t="s">
        <v>793</v>
      </c>
      <c r="C35" s="618" t="s">
        <v>794</v>
      </c>
      <c r="D35" s="615" t="s">
        <v>1179</v>
      </c>
      <c r="E35" s="615" t="s">
        <v>1175</v>
      </c>
      <c r="F35" s="619" t="s">
        <v>1174</v>
      </c>
      <c r="G35" s="619" t="s">
        <v>662</v>
      </c>
      <c r="H35" s="619" t="s">
        <v>663</v>
      </c>
      <c r="I35" s="619" t="s">
        <v>664</v>
      </c>
      <c r="J35" s="615" t="s">
        <v>661</v>
      </c>
      <c r="K35" s="615" t="s">
        <v>1176</v>
      </c>
      <c r="L35" s="615" t="s">
        <v>1180</v>
      </c>
    </row>
    <row r="36" spans="1:12">
      <c r="A36" s="259" t="s">
        <v>969</v>
      </c>
      <c r="B36" s="372">
        <v>6</v>
      </c>
      <c r="C36" s="372">
        <v>0</v>
      </c>
      <c r="D36" s="372">
        <v>6</v>
      </c>
      <c r="E36" s="372">
        <v>6</v>
      </c>
      <c r="F36" s="372">
        <v>0</v>
      </c>
      <c r="G36" s="432"/>
      <c r="H36" s="432"/>
      <c r="I36" s="432"/>
      <c r="J36" s="372">
        <f>F36+E36</f>
        <v>6</v>
      </c>
      <c r="K36" s="337">
        <f>J36/D36</f>
        <v>1</v>
      </c>
      <c r="L36" s="432"/>
    </row>
    <row r="37" spans="1:12">
      <c r="A37" s="259" t="s">
        <v>970</v>
      </c>
      <c r="B37" s="372">
        <v>15</v>
      </c>
      <c r="C37" s="372">
        <v>0</v>
      </c>
      <c r="D37" s="372">
        <f>C37+B37</f>
        <v>15</v>
      </c>
      <c r="E37" s="372">
        <v>15</v>
      </c>
      <c r="F37" s="372">
        <v>0</v>
      </c>
      <c r="G37" s="372"/>
      <c r="H37" s="372"/>
      <c r="I37" s="372"/>
      <c r="J37" s="372">
        <f>F37+E37</f>
        <v>15</v>
      </c>
      <c r="K37" s="337">
        <f>J37/D37</f>
        <v>1</v>
      </c>
      <c r="L37" s="432"/>
    </row>
    <row r="38" spans="1:12">
      <c r="A38" s="259" t="s">
        <v>971</v>
      </c>
      <c r="B38" s="372">
        <v>5</v>
      </c>
      <c r="C38" s="372">
        <v>0</v>
      </c>
      <c r="D38" s="372">
        <f>C38+B38</f>
        <v>5</v>
      </c>
      <c r="E38" s="372">
        <v>5</v>
      </c>
      <c r="F38" s="372">
        <v>0</v>
      </c>
      <c r="G38" s="372"/>
      <c r="H38" s="372"/>
      <c r="I38" s="372"/>
      <c r="J38" s="372">
        <f>F38+E38</f>
        <v>5</v>
      </c>
      <c r="K38" s="337">
        <f>J38/D38</f>
        <v>1</v>
      </c>
      <c r="L38" s="432"/>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09862-E76E-47CB-AC6D-EEC4351087E7}">
  <dimension ref="A1:L38"/>
  <sheetViews>
    <sheetView topLeftCell="A19" workbookViewId="0">
      <selection activeCell="C37" sqref="C37"/>
    </sheetView>
  </sheetViews>
  <sheetFormatPr baseColWidth="10" defaultRowHeight="15"/>
  <cols>
    <col min="1" max="1" width="15.7109375" customWidth="1"/>
    <col min="2" max="2" width="41.140625" customWidth="1"/>
    <col min="3" max="3" width="35.140625" customWidth="1"/>
    <col min="4" max="4" width="36.42578125" customWidth="1"/>
    <col min="5" max="5" width="19" customWidth="1"/>
    <col min="6" max="6" width="22.28515625" customWidth="1"/>
    <col min="7" max="9" width="19.140625" hidden="1" customWidth="1"/>
    <col min="10" max="10" width="23.140625" customWidth="1"/>
    <col min="11" max="11" width="20.85546875" customWidth="1"/>
    <col min="12" max="12" width="37.5703125" customWidth="1"/>
  </cols>
  <sheetData>
    <row r="1" spans="1:12" ht="54">
      <c r="A1" s="615" t="s">
        <v>1150</v>
      </c>
      <c r="B1" s="618" t="s">
        <v>793</v>
      </c>
      <c r="C1" s="618" t="s">
        <v>794</v>
      </c>
      <c r="D1" s="615" t="s">
        <v>1179</v>
      </c>
      <c r="E1" s="615" t="s">
        <v>1196</v>
      </c>
      <c r="F1" s="619" t="s">
        <v>1197</v>
      </c>
      <c r="G1" s="619" t="s">
        <v>662</v>
      </c>
      <c r="H1" s="619" t="s">
        <v>663</v>
      </c>
      <c r="I1" s="619" t="s">
        <v>664</v>
      </c>
      <c r="J1" s="615" t="s">
        <v>1198</v>
      </c>
      <c r="K1" s="664" t="s">
        <v>1176</v>
      </c>
      <c r="L1" s="615" t="s">
        <v>1180</v>
      </c>
    </row>
    <row r="2" spans="1:12">
      <c r="A2" s="259" t="s">
        <v>969</v>
      </c>
      <c r="B2" s="372">
        <v>1</v>
      </c>
      <c r="C2" s="372">
        <v>0</v>
      </c>
      <c r="D2" s="372">
        <f>B2</f>
        <v>1</v>
      </c>
      <c r="E2" s="372">
        <v>1</v>
      </c>
      <c r="F2" s="372">
        <v>0</v>
      </c>
      <c r="G2" s="372"/>
      <c r="H2" s="372"/>
      <c r="I2" s="372"/>
      <c r="J2" s="372">
        <f>F2+E2</f>
        <v>1</v>
      </c>
      <c r="K2" s="665">
        <f>J2/B2</f>
        <v>1</v>
      </c>
      <c r="L2" s="509"/>
    </row>
    <row r="3" spans="1:12">
      <c r="A3" s="259" t="s">
        <v>970</v>
      </c>
      <c r="B3" s="372">
        <v>7</v>
      </c>
      <c r="C3" s="372">
        <v>0</v>
      </c>
      <c r="D3" s="372">
        <f t="shared" ref="D3:D4" si="0">B3</f>
        <v>7</v>
      </c>
      <c r="E3" s="372">
        <v>7</v>
      </c>
      <c r="F3" s="372">
        <v>0</v>
      </c>
      <c r="G3" s="372"/>
      <c r="H3" s="372"/>
      <c r="I3" s="372"/>
      <c r="J3" s="372">
        <f>F3+E3</f>
        <v>7</v>
      </c>
      <c r="K3" s="337">
        <f t="shared" ref="K3:K4" si="1">J3/B3</f>
        <v>1</v>
      </c>
      <c r="L3" s="509"/>
    </row>
    <row r="4" spans="1:12">
      <c r="A4" s="259" t="s">
        <v>971</v>
      </c>
      <c r="B4" s="372">
        <v>4</v>
      </c>
      <c r="C4" s="372">
        <v>0</v>
      </c>
      <c r="D4" s="372">
        <f t="shared" si="0"/>
        <v>4</v>
      </c>
      <c r="E4" s="372">
        <v>5</v>
      </c>
      <c r="F4" s="372">
        <v>0</v>
      </c>
      <c r="G4" s="372"/>
      <c r="H4" s="372"/>
      <c r="I4" s="372"/>
      <c r="J4" s="372">
        <f>F4+E4</f>
        <v>5</v>
      </c>
      <c r="K4" s="337">
        <f t="shared" si="1"/>
        <v>1.25</v>
      </c>
      <c r="L4" s="509"/>
    </row>
    <row r="5" spans="1:12" ht="15.75" thickBot="1">
      <c r="A5" s="3"/>
      <c r="B5" s="7"/>
      <c r="C5" s="7"/>
      <c r="D5" s="7"/>
      <c r="E5" s="7"/>
      <c r="F5" s="7"/>
      <c r="G5" s="7"/>
      <c r="H5" s="7"/>
      <c r="I5" s="7"/>
      <c r="J5" s="7"/>
    </row>
    <row r="6" spans="1:12" ht="54">
      <c r="A6" s="615" t="s">
        <v>1153</v>
      </c>
      <c r="B6" s="618" t="s">
        <v>793</v>
      </c>
      <c r="C6" s="618" t="s">
        <v>794</v>
      </c>
      <c r="D6" s="615" t="s">
        <v>1179</v>
      </c>
      <c r="E6" s="615" t="s">
        <v>1196</v>
      </c>
      <c r="F6" s="619" t="s">
        <v>1197</v>
      </c>
      <c r="G6" s="619" t="s">
        <v>662</v>
      </c>
      <c r="H6" s="619" t="s">
        <v>663</v>
      </c>
      <c r="I6" s="619" t="s">
        <v>664</v>
      </c>
      <c r="J6" s="615" t="s">
        <v>1198</v>
      </c>
      <c r="K6" s="664" t="s">
        <v>1176</v>
      </c>
      <c r="L6" s="615" t="s">
        <v>1180</v>
      </c>
    </row>
    <row r="7" spans="1:12">
      <c r="A7" s="259" t="s">
        <v>969</v>
      </c>
      <c r="B7" s="372">
        <v>161</v>
      </c>
      <c r="C7" s="372">
        <v>12</v>
      </c>
      <c r="D7" s="372">
        <f>B7+C7</f>
        <v>173</v>
      </c>
      <c r="E7" s="372">
        <v>161</v>
      </c>
      <c r="F7" s="372">
        <v>12</v>
      </c>
      <c r="G7" s="372"/>
      <c r="H7" s="372"/>
      <c r="I7" s="372"/>
      <c r="J7" s="372">
        <f>F7+E7</f>
        <v>173</v>
      </c>
      <c r="K7" s="337">
        <f>J7/D7</f>
        <v>1</v>
      </c>
      <c r="L7" s="509"/>
    </row>
    <row r="8" spans="1:12">
      <c r="A8" s="259" t="s">
        <v>970</v>
      </c>
      <c r="B8" s="372">
        <v>23</v>
      </c>
      <c r="C8" s="372">
        <v>0</v>
      </c>
      <c r="D8" s="372">
        <f>B8+C8</f>
        <v>23</v>
      </c>
      <c r="E8" s="372">
        <v>23</v>
      </c>
      <c r="F8" s="372">
        <v>0</v>
      </c>
      <c r="G8" s="372"/>
      <c r="H8" s="372"/>
      <c r="I8" s="372"/>
      <c r="J8" s="372">
        <f>F8+E8</f>
        <v>23</v>
      </c>
      <c r="K8" s="337">
        <f>J8/D8</f>
        <v>1</v>
      </c>
      <c r="L8" s="509"/>
    </row>
    <row r="9" spans="1:12">
      <c r="A9" s="3"/>
      <c r="B9" s="7"/>
      <c r="C9" s="1"/>
      <c r="D9" s="1"/>
      <c r="E9" s="1"/>
      <c r="F9" s="1"/>
      <c r="G9" s="1"/>
      <c r="H9" s="1"/>
      <c r="I9" s="1"/>
      <c r="J9" s="1"/>
    </row>
    <row r="10" spans="1:12" ht="15.75" thickBot="1">
      <c r="A10" s="3"/>
      <c r="B10" s="7"/>
      <c r="C10" s="1"/>
      <c r="D10" s="1"/>
      <c r="E10" s="1"/>
      <c r="F10" s="1"/>
      <c r="G10" s="1"/>
      <c r="H10" s="1"/>
      <c r="I10" s="1"/>
      <c r="J10" s="1"/>
    </row>
    <row r="11" spans="1:12" ht="54">
      <c r="A11" s="615" t="s">
        <v>1154</v>
      </c>
      <c r="B11" s="618" t="s">
        <v>793</v>
      </c>
      <c r="C11" s="618" t="s">
        <v>794</v>
      </c>
      <c r="D11" s="615" t="s">
        <v>1179</v>
      </c>
      <c r="E11" s="615" t="s">
        <v>1196</v>
      </c>
      <c r="F11" s="619" t="s">
        <v>1197</v>
      </c>
      <c r="G11" s="619" t="s">
        <v>662</v>
      </c>
      <c r="H11" s="619" t="s">
        <v>663</v>
      </c>
      <c r="I11" s="619" t="s">
        <v>664</v>
      </c>
      <c r="J11" s="615" t="s">
        <v>1198</v>
      </c>
      <c r="K11" s="664" t="s">
        <v>1176</v>
      </c>
      <c r="L11" s="615" t="s">
        <v>1180</v>
      </c>
    </row>
    <row r="12" spans="1:12" ht="33.75" customHeight="1">
      <c r="A12" s="259" t="s">
        <v>969</v>
      </c>
      <c r="B12" s="372">
        <v>927</v>
      </c>
      <c r="C12" s="372">
        <v>14</v>
      </c>
      <c r="D12" s="372">
        <f>B12+C12</f>
        <v>941</v>
      </c>
      <c r="E12" s="372">
        <f>929-44-99</f>
        <v>786</v>
      </c>
      <c r="F12" s="372">
        <v>14</v>
      </c>
      <c r="G12" s="372"/>
      <c r="H12" s="372"/>
      <c r="I12" s="372"/>
      <c r="J12" s="372">
        <f>E12+F12</f>
        <v>800</v>
      </c>
      <c r="K12" s="672">
        <f>J12/D12</f>
        <v>0.85015940488841657</v>
      </c>
      <c r="L12" s="667" t="s">
        <v>1181</v>
      </c>
    </row>
    <row r="13" spans="1:12">
      <c r="A13" s="259" t="s">
        <v>970</v>
      </c>
      <c r="B13" s="372">
        <v>7</v>
      </c>
      <c r="C13" s="372">
        <v>1</v>
      </c>
      <c r="D13" s="372">
        <f>B13+C13</f>
        <v>8</v>
      </c>
      <c r="E13" s="372">
        <v>7</v>
      </c>
      <c r="F13" s="372">
        <v>1</v>
      </c>
      <c r="G13" s="372"/>
      <c r="H13" s="372"/>
      <c r="I13" s="372"/>
      <c r="J13" s="372">
        <f>E13+F13</f>
        <v>8</v>
      </c>
      <c r="K13" s="672">
        <f>J13/D13</f>
        <v>1</v>
      </c>
      <c r="L13" s="509"/>
    </row>
    <row r="14" spans="1:12">
      <c r="A14" s="3"/>
      <c r="B14" s="7"/>
      <c r="C14" s="2"/>
      <c r="D14" s="2"/>
      <c r="E14" s="2"/>
      <c r="F14" s="2"/>
      <c r="G14" s="2"/>
      <c r="H14" s="2"/>
      <c r="I14" s="2"/>
      <c r="J14" s="2"/>
    </row>
    <row r="15" spans="1:12" ht="15.75" thickBot="1">
      <c r="A15" s="3"/>
      <c r="B15" s="7"/>
      <c r="C15" s="2"/>
      <c r="D15" s="2"/>
      <c r="E15" s="2"/>
      <c r="F15" s="2"/>
      <c r="G15" s="2"/>
      <c r="H15" s="2"/>
      <c r="I15" s="2"/>
      <c r="J15" s="2"/>
    </row>
    <row r="16" spans="1:12" ht="54">
      <c r="A16" s="615" t="s">
        <v>1155</v>
      </c>
      <c r="B16" s="618" t="s">
        <v>793</v>
      </c>
      <c r="C16" s="618" t="s">
        <v>794</v>
      </c>
      <c r="D16" s="615" t="s">
        <v>1179</v>
      </c>
      <c r="E16" s="615" t="s">
        <v>1196</v>
      </c>
      <c r="F16" s="619" t="s">
        <v>1197</v>
      </c>
      <c r="G16" s="619" t="s">
        <v>662</v>
      </c>
      <c r="H16" s="619" t="s">
        <v>663</v>
      </c>
      <c r="I16" s="619" t="s">
        <v>664</v>
      </c>
      <c r="J16" s="615" t="s">
        <v>1198</v>
      </c>
      <c r="K16" s="664" t="s">
        <v>1176</v>
      </c>
      <c r="L16" s="615" t="s">
        <v>1180</v>
      </c>
    </row>
    <row r="17" spans="1:12">
      <c r="A17" s="259" t="s">
        <v>969</v>
      </c>
      <c r="B17" s="372">
        <v>0</v>
      </c>
      <c r="C17" s="372">
        <v>0</v>
      </c>
      <c r="D17" s="372">
        <f>B17+C17</f>
        <v>0</v>
      </c>
      <c r="E17" s="372">
        <v>0</v>
      </c>
      <c r="F17" s="372">
        <v>0</v>
      </c>
      <c r="G17" s="372"/>
      <c r="H17" s="372"/>
      <c r="I17" s="372"/>
      <c r="J17" s="372">
        <f>F17+E17</f>
        <v>0</v>
      </c>
      <c r="K17" s="337">
        <v>0</v>
      </c>
      <c r="L17" s="509"/>
    </row>
    <row r="18" spans="1:12">
      <c r="A18" s="259" t="s">
        <v>970</v>
      </c>
      <c r="B18" s="372">
        <v>2</v>
      </c>
      <c r="C18" s="372">
        <v>3</v>
      </c>
      <c r="D18" s="372">
        <f t="shared" ref="D18:D20" si="2">B18+C18</f>
        <v>5</v>
      </c>
      <c r="E18" s="372">
        <v>2</v>
      </c>
      <c r="F18" s="372">
        <v>3</v>
      </c>
      <c r="G18" s="372"/>
      <c r="H18" s="372"/>
      <c r="I18" s="372"/>
      <c r="J18" s="372">
        <f>F18+E18</f>
        <v>5</v>
      </c>
      <c r="K18" s="337">
        <f>J18/D18</f>
        <v>1</v>
      </c>
      <c r="L18" s="509"/>
    </row>
    <row r="19" spans="1:12">
      <c r="A19" s="259" t="s">
        <v>971</v>
      </c>
      <c r="B19" s="372">
        <v>7</v>
      </c>
      <c r="C19" s="372">
        <v>3</v>
      </c>
      <c r="D19" s="372">
        <f t="shared" si="2"/>
        <v>10</v>
      </c>
      <c r="E19" s="372">
        <v>0</v>
      </c>
      <c r="F19" s="372">
        <v>0</v>
      </c>
      <c r="G19" s="372"/>
      <c r="H19" s="372"/>
      <c r="I19" s="372"/>
      <c r="J19" s="372">
        <v>0</v>
      </c>
      <c r="K19" s="337">
        <f>J19/D19</f>
        <v>0</v>
      </c>
      <c r="L19" s="509"/>
    </row>
    <row r="20" spans="1:12">
      <c r="A20" s="259" t="s">
        <v>972</v>
      </c>
      <c r="B20" s="372">
        <v>102</v>
      </c>
      <c r="C20" s="372">
        <v>0</v>
      </c>
      <c r="D20" s="372">
        <f t="shared" si="2"/>
        <v>102</v>
      </c>
      <c r="E20" s="372">
        <v>102</v>
      </c>
      <c r="F20" s="372">
        <v>0</v>
      </c>
      <c r="G20" s="372"/>
      <c r="H20" s="372"/>
      <c r="I20" s="372"/>
      <c r="J20" s="372">
        <f>F20+E20</f>
        <v>102</v>
      </c>
      <c r="K20" s="337">
        <f>J20/D20</f>
        <v>1</v>
      </c>
      <c r="L20" s="509"/>
    </row>
    <row r="21" spans="1:12" ht="15.75" thickBot="1">
      <c r="A21" s="3"/>
      <c r="B21" s="7"/>
      <c r="C21" s="2"/>
      <c r="D21" s="2"/>
      <c r="E21" s="2"/>
      <c r="F21" s="2"/>
      <c r="G21" s="2"/>
      <c r="H21" s="2"/>
      <c r="I21" s="2"/>
      <c r="J21" s="2"/>
    </row>
    <row r="22" spans="1:12" ht="54">
      <c r="A22" s="615" t="s">
        <v>1156</v>
      </c>
      <c r="B22" s="618" t="s">
        <v>793</v>
      </c>
      <c r="C22" s="618" t="s">
        <v>794</v>
      </c>
      <c r="D22" s="615" t="s">
        <v>1179</v>
      </c>
      <c r="E22" s="615" t="s">
        <v>1196</v>
      </c>
      <c r="F22" s="619" t="s">
        <v>1197</v>
      </c>
      <c r="G22" s="619" t="s">
        <v>662</v>
      </c>
      <c r="H22" s="619" t="s">
        <v>663</v>
      </c>
      <c r="I22" s="619" t="s">
        <v>664</v>
      </c>
      <c r="J22" s="615" t="s">
        <v>1198</v>
      </c>
      <c r="K22" s="664" t="s">
        <v>1176</v>
      </c>
      <c r="L22" s="615" t="s">
        <v>1180</v>
      </c>
    </row>
    <row r="23" spans="1:12" ht="18">
      <c r="A23" s="259" t="s">
        <v>969</v>
      </c>
      <c r="B23" s="372">
        <v>20</v>
      </c>
      <c r="C23" s="642">
        <v>0</v>
      </c>
      <c r="D23" s="642">
        <f>B23+C23</f>
        <v>20</v>
      </c>
      <c r="E23" s="642">
        <v>20</v>
      </c>
      <c r="F23" s="372">
        <v>0</v>
      </c>
      <c r="G23" s="613"/>
      <c r="H23" s="614"/>
      <c r="I23" s="613"/>
      <c r="J23" s="372">
        <f>F23+E23</f>
        <v>20</v>
      </c>
      <c r="K23" s="337">
        <f>J23/D23</f>
        <v>1</v>
      </c>
      <c r="L23" s="509"/>
    </row>
    <row r="24" spans="1:12">
      <c r="A24" s="259" t="s">
        <v>970</v>
      </c>
      <c r="B24" s="372">
        <v>26</v>
      </c>
      <c r="C24" s="642">
        <v>0</v>
      </c>
      <c r="D24" s="642">
        <f>B24+C24</f>
        <v>26</v>
      </c>
      <c r="E24" s="642">
        <v>26</v>
      </c>
      <c r="F24" s="642">
        <v>0</v>
      </c>
      <c r="G24" s="642"/>
      <c r="H24" s="642"/>
      <c r="I24" s="642"/>
      <c r="J24" s="372">
        <v>0</v>
      </c>
      <c r="K24" s="337">
        <f>J24/D24</f>
        <v>0</v>
      </c>
      <c r="L24" s="509"/>
    </row>
    <row r="25" spans="1:12" ht="15.75" thickBot="1">
      <c r="A25" s="3"/>
      <c r="B25" s="7"/>
      <c r="C25" s="2"/>
      <c r="D25" s="2"/>
      <c r="E25" s="2"/>
      <c r="F25" s="2"/>
      <c r="G25" s="2"/>
      <c r="H25" s="2"/>
      <c r="I25" s="2"/>
      <c r="J25" s="2"/>
    </row>
    <row r="26" spans="1:12" ht="54">
      <c r="A26" s="615" t="s">
        <v>1157</v>
      </c>
      <c r="B26" s="618" t="s">
        <v>793</v>
      </c>
      <c r="C26" s="618" t="s">
        <v>794</v>
      </c>
      <c r="D26" s="615" t="s">
        <v>1152</v>
      </c>
      <c r="E26" s="615" t="s">
        <v>1196</v>
      </c>
      <c r="F26" s="619" t="s">
        <v>1197</v>
      </c>
      <c r="G26" s="619" t="s">
        <v>662</v>
      </c>
      <c r="H26" s="619" t="s">
        <v>663</v>
      </c>
      <c r="I26" s="619" t="s">
        <v>664</v>
      </c>
      <c r="J26" s="615" t="s">
        <v>1198</v>
      </c>
      <c r="K26" s="615" t="s">
        <v>1176</v>
      </c>
      <c r="L26" s="615" t="s">
        <v>1180</v>
      </c>
    </row>
    <row r="27" spans="1:12">
      <c r="A27" s="259" t="s">
        <v>969</v>
      </c>
      <c r="B27" s="372">
        <v>3</v>
      </c>
      <c r="C27" s="372">
        <v>0</v>
      </c>
      <c r="D27" s="642">
        <f>B27+C27</f>
        <v>3</v>
      </c>
      <c r="E27" s="642">
        <v>3</v>
      </c>
      <c r="F27" s="642">
        <v>0</v>
      </c>
      <c r="G27" s="642"/>
      <c r="H27" s="642"/>
      <c r="I27" s="642"/>
      <c r="J27" s="642">
        <f>F27+E27</f>
        <v>3</v>
      </c>
      <c r="K27" s="337">
        <f>J27/D27</f>
        <v>1</v>
      </c>
      <c r="L27" s="509"/>
    </row>
    <row r="28" spans="1:12">
      <c r="A28" s="259" t="s">
        <v>970</v>
      </c>
      <c r="B28" s="372">
        <v>0</v>
      </c>
      <c r="C28" s="642">
        <v>0</v>
      </c>
      <c r="D28" s="642">
        <f>B28+C28</f>
        <v>0</v>
      </c>
      <c r="E28" s="642">
        <v>0</v>
      </c>
      <c r="F28" s="642">
        <v>0</v>
      </c>
      <c r="G28" s="642"/>
      <c r="H28" s="642"/>
      <c r="I28" s="642"/>
      <c r="J28" s="642">
        <f>F28+E28</f>
        <v>0</v>
      </c>
      <c r="K28" s="337">
        <v>0</v>
      </c>
      <c r="L28" s="509"/>
    </row>
    <row r="29" spans="1:12">
      <c r="A29" s="3"/>
      <c r="B29" s="7"/>
      <c r="C29" s="2"/>
      <c r="D29" s="2"/>
      <c r="E29" s="2"/>
      <c r="F29" s="2"/>
      <c r="G29" s="2"/>
      <c r="H29" s="2"/>
      <c r="I29" s="2"/>
      <c r="J29" s="2"/>
    </row>
    <row r="30" spans="1:12" ht="15.75" thickBot="1">
      <c r="A30" s="3"/>
      <c r="B30" s="7"/>
      <c r="C30" s="2"/>
      <c r="D30" s="2"/>
      <c r="E30" s="2"/>
      <c r="F30" s="2"/>
      <c r="G30" s="2"/>
      <c r="H30" s="2"/>
      <c r="I30" s="2"/>
      <c r="J30" s="2"/>
    </row>
    <row r="31" spans="1:12" ht="54">
      <c r="A31" s="615" t="s">
        <v>1158</v>
      </c>
      <c r="B31" s="618" t="s">
        <v>793</v>
      </c>
      <c r="C31" s="618" t="s">
        <v>794</v>
      </c>
      <c r="D31" s="615" t="s">
        <v>1179</v>
      </c>
      <c r="E31" s="615" t="s">
        <v>1196</v>
      </c>
      <c r="F31" s="619" t="s">
        <v>1197</v>
      </c>
      <c r="G31" s="619" t="s">
        <v>662</v>
      </c>
      <c r="H31" s="619" t="s">
        <v>663</v>
      </c>
      <c r="I31" s="619" t="s">
        <v>664</v>
      </c>
      <c r="J31" s="615" t="s">
        <v>1198</v>
      </c>
      <c r="K31" s="615" t="s">
        <v>1176</v>
      </c>
      <c r="L31" s="615" t="s">
        <v>1180</v>
      </c>
    </row>
    <row r="32" spans="1:12">
      <c r="A32" s="259" t="s">
        <v>969</v>
      </c>
      <c r="B32" s="372">
        <v>13</v>
      </c>
      <c r="C32" s="642">
        <v>1</v>
      </c>
      <c r="D32" s="642">
        <f>B32+C32</f>
        <v>14</v>
      </c>
      <c r="E32" s="642">
        <v>13</v>
      </c>
      <c r="F32" s="642">
        <v>1</v>
      </c>
      <c r="G32" s="642"/>
      <c r="H32" s="642"/>
      <c r="I32" s="642"/>
      <c r="J32" s="372">
        <f>F32+E32</f>
        <v>14</v>
      </c>
      <c r="K32" s="337">
        <f>J32/D32</f>
        <v>1</v>
      </c>
      <c r="L32" s="509"/>
    </row>
    <row r="33" spans="1:12">
      <c r="A33" s="3"/>
      <c r="B33" s="7"/>
      <c r="C33" s="2"/>
      <c r="D33" s="2"/>
      <c r="E33" s="2"/>
      <c r="F33" s="2"/>
      <c r="G33" s="2"/>
      <c r="H33" s="2"/>
      <c r="I33" s="2"/>
      <c r="J33" s="2"/>
    </row>
    <row r="34" spans="1:12" ht="15.75" thickBot="1">
      <c r="A34" s="3"/>
      <c r="B34" s="7"/>
      <c r="C34" s="2"/>
      <c r="D34" s="2"/>
      <c r="E34" s="2"/>
      <c r="F34" s="2"/>
      <c r="G34" s="2"/>
      <c r="H34" s="2"/>
      <c r="I34" s="2"/>
      <c r="J34" s="2"/>
    </row>
    <row r="35" spans="1:12" ht="54">
      <c r="A35" s="615" t="s">
        <v>1159</v>
      </c>
      <c r="B35" s="618" t="s">
        <v>793</v>
      </c>
      <c r="C35" s="618" t="s">
        <v>794</v>
      </c>
      <c r="D35" s="615" t="s">
        <v>1179</v>
      </c>
      <c r="E35" s="615" t="s">
        <v>1196</v>
      </c>
      <c r="F35" s="619" t="s">
        <v>1197</v>
      </c>
      <c r="G35" s="619" t="s">
        <v>662</v>
      </c>
      <c r="H35" s="619" t="s">
        <v>663</v>
      </c>
      <c r="I35" s="619" t="s">
        <v>664</v>
      </c>
      <c r="J35" s="615" t="s">
        <v>1198</v>
      </c>
      <c r="K35" s="615" t="s">
        <v>1176</v>
      </c>
      <c r="L35" s="615" t="s">
        <v>1180</v>
      </c>
    </row>
    <row r="36" spans="1:12">
      <c r="A36" s="259" t="s">
        <v>969</v>
      </c>
      <c r="B36" s="372">
        <v>7</v>
      </c>
      <c r="C36" s="372">
        <v>0</v>
      </c>
      <c r="D36" s="642">
        <f t="shared" ref="D36:D38" si="3">B36+C36</f>
        <v>7</v>
      </c>
      <c r="E36" s="372">
        <v>7</v>
      </c>
      <c r="F36" s="372">
        <v>0</v>
      </c>
      <c r="G36" s="432"/>
      <c r="H36" s="432"/>
      <c r="I36" s="432"/>
      <c r="J36" s="372">
        <f>F36+E36</f>
        <v>7</v>
      </c>
      <c r="K36" s="337">
        <f>J36/D36</f>
        <v>1</v>
      </c>
      <c r="L36" s="432"/>
    </row>
    <row r="37" spans="1:12">
      <c r="A37" s="259" t="s">
        <v>970</v>
      </c>
      <c r="B37" s="372">
        <v>17</v>
      </c>
      <c r="C37" s="372">
        <v>0</v>
      </c>
      <c r="D37" s="642">
        <f t="shared" si="3"/>
        <v>17</v>
      </c>
      <c r="E37" s="372">
        <v>17</v>
      </c>
      <c r="F37" s="372">
        <v>0</v>
      </c>
      <c r="G37" s="372"/>
      <c r="H37" s="372"/>
      <c r="I37" s="372"/>
      <c r="J37" s="372">
        <f>F37+E37</f>
        <v>17</v>
      </c>
      <c r="K37" s="337">
        <f>J37/D37</f>
        <v>1</v>
      </c>
      <c r="L37" s="432"/>
    </row>
    <row r="38" spans="1:12">
      <c r="A38" s="259" t="s">
        <v>971</v>
      </c>
      <c r="B38" s="372">
        <v>3</v>
      </c>
      <c r="C38" s="372">
        <v>0</v>
      </c>
      <c r="D38" s="642">
        <f t="shared" si="3"/>
        <v>3</v>
      </c>
      <c r="E38" s="372">
        <v>5</v>
      </c>
      <c r="F38" s="372">
        <v>0</v>
      </c>
      <c r="G38" s="372"/>
      <c r="H38" s="372"/>
      <c r="I38" s="372"/>
      <c r="J38" s="372">
        <f>F38+E38</f>
        <v>5</v>
      </c>
      <c r="K38" s="337">
        <f>J38/D38</f>
        <v>1.6666666666666667</v>
      </c>
      <c r="L38" s="43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259A1-29A4-4447-8863-B3E762546B85}">
  <dimension ref="A1:L38"/>
  <sheetViews>
    <sheetView workbookViewId="0">
      <selection activeCell="K39" sqref="K39"/>
    </sheetView>
  </sheetViews>
  <sheetFormatPr baseColWidth="10" defaultRowHeight="15"/>
  <cols>
    <col min="1" max="1" width="15.7109375" customWidth="1"/>
    <col min="2" max="2" width="41.140625" customWidth="1"/>
    <col min="3" max="3" width="35.140625" customWidth="1"/>
    <col min="4" max="4" width="36.42578125" customWidth="1"/>
    <col min="5" max="5" width="19" customWidth="1"/>
    <col min="6" max="6" width="22.28515625" customWidth="1"/>
    <col min="7" max="9" width="19.140625" hidden="1" customWidth="1"/>
    <col min="10" max="10" width="23.140625" customWidth="1"/>
    <col min="11" max="11" width="20.85546875" customWidth="1"/>
    <col min="12" max="12" width="37.5703125" customWidth="1"/>
  </cols>
  <sheetData>
    <row r="1" spans="1:12" ht="54">
      <c r="A1" s="615" t="s">
        <v>1150</v>
      </c>
      <c r="B1" s="618" t="s">
        <v>793</v>
      </c>
      <c r="C1" s="618" t="s">
        <v>794</v>
      </c>
      <c r="D1" s="615" t="s">
        <v>1179</v>
      </c>
      <c r="E1" s="615" t="s">
        <v>1199</v>
      </c>
      <c r="F1" s="619" t="s">
        <v>1200</v>
      </c>
      <c r="G1" s="619" t="s">
        <v>662</v>
      </c>
      <c r="H1" s="619" t="s">
        <v>663</v>
      </c>
      <c r="I1" s="619" t="s">
        <v>664</v>
      </c>
      <c r="J1" s="615" t="s">
        <v>1201</v>
      </c>
      <c r="K1" s="664" t="s">
        <v>1176</v>
      </c>
      <c r="L1" s="615" t="s">
        <v>1180</v>
      </c>
    </row>
    <row r="2" spans="1:12">
      <c r="A2" s="259" t="s">
        <v>969</v>
      </c>
      <c r="B2" s="372">
        <v>9</v>
      </c>
      <c r="C2" s="372">
        <v>0</v>
      </c>
      <c r="D2" s="372">
        <f>C2+B2</f>
        <v>9</v>
      </c>
      <c r="E2" s="372">
        <v>7</v>
      </c>
      <c r="F2" s="372">
        <v>0</v>
      </c>
      <c r="G2" s="372"/>
      <c r="H2" s="372"/>
      <c r="I2" s="372"/>
      <c r="J2" s="372">
        <f>F2+E2</f>
        <v>7</v>
      </c>
      <c r="K2" s="665">
        <f>J2/B2</f>
        <v>0.77777777777777779</v>
      </c>
      <c r="L2" s="509"/>
    </row>
    <row r="3" spans="1:12">
      <c r="A3" s="259" t="s">
        <v>970</v>
      </c>
      <c r="B3" s="372">
        <v>6</v>
      </c>
      <c r="C3" s="372">
        <v>0</v>
      </c>
      <c r="D3" s="372">
        <f>C3+B3</f>
        <v>6</v>
      </c>
      <c r="E3" s="372">
        <v>6</v>
      </c>
      <c r="F3" s="372">
        <v>0</v>
      </c>
      <c r="G3" s="372"/>
      <c r="H3" s="372"/>
      <c r="I3" s="372"/>
      <c r="J3" s="372">
        <f>F3+E3</f>
        <v>6</v>
      </c>
      <c r="K3" s="337">
        <f t="shared" ref="K3:K4" si="0">J3/B3</f>
        <v>1</v>
      </c>
      <c r="L3" s="509"/>
    </row>
    <row r="4" spans="1:12">
      <c r="A4" s="259" t="s">
        <v>971</v>
      </c>
      <c r="B4" s="372">
        <v>4</v>
      </c>
      <c r="C4" s="372">
        <v>0</v>
      </c>
      <c r="D4" s="372">
        <f>C4+B4</f>
        <v>4</v>
      </c>
      <c r="E4" s="372">
        <v>4</v>
      </c>
      <c r="F4" s="372">
        <v>0</v>
      </c>
      <c r="G4" s="372"/>
      <c r="H4" s="372"/>
      <c r="I4" s="372"/>
      <c r="J4" s="372">
        <f>F4+E4</f>
        <v>4</v>
      </c>
      <c r="K4" s="337">
        <f t="shared" si="0"/>
        <v>1</v>
      </c>
      <c r="L4" s="509"/>
    </row>
    <row r="5" spans="1:12" ht="15.75" thickBot="1">
      <c r="A5" s="3"/>
      <c r="B5" s="7"/>
      <c r="C5" s="7"/>
      <c r="D5" s="7"/>
      <c r="E5" s="7"/>
      <c r="F5" s="7"/>
      <c r="G5" s="7"/>
      <c r="H5" s="7"/>
      <c r="I5" s="7"/>
      <c r="J5" s="7"/>
    </row>
    <row r="6" spans="1:12" ht="54">
      <c r="A6" s="615" t="s">
        <v>1153</v>
      </c>
      <c r="B6" s="618" t="s">
        <v>793</v>
      </c>
      <c r="C6" s="618" t="s">
        <v>794</v>
      </c>
      <c r="D6" s="615" t="s">
        <v>1179</v>
      </c>
      <c r="E6" s="615" t="s">
        <v>1199</v>
      </c>
      <c r="F6" s="619" t="s">
        <v>1200</v>
      </c>
      <c r="G6" s="619" t="s">
        <v>662</v>
      </c>
      <c r="H6" s="619" t="s">
        <v>663</v>
      </c>
      <c r="I6" s="619" t="s">
        <v>664</v>
      </c>
      <c r="J6" s="615" t="s">
        <v>1202</v>
      </c>
      <c r="K6" s="664" t="s">
        <v>1176</v>
      </c>
      <c r="L6" s="615" t="s">
        <v>1180</v>
      </c>
    </row>
    <row r="7" spans="1:12">
      <c r="A7" s="259" t="s">
        <v>969</v>
      </c>
      <c r="B7" s="372">
        <v>161</v>
      </c>
      <c r="C7" s="372">
        <v>12</v>
      </c>
      <c r="D7" s="372">
        <f>C7+B7</f>
        <v>173</v>
      </c>
      <c r="E7" s="372">
        <v>161</v>
      </c>
      <c r="F7" s="372">
        <v>12</v>
      </c>
      <c r="G7" s="372"/>
      <c r="H7" s="372"/>
      <c r="I7" s="372"/>
      <c r="J7" s="372">
        <f>F7+E7</f>
        <v>173</v>
      </c>
      <c r="K7" s="337">
        <f>J7/D7</f>
        <v>1</v>
      </c>
      <c r="L7" s="509"/>
    </row>
    <row r="8" spans="1:12">
      <c r="A8" s="259" t="s">
        <v>970</v>
      </c>
      <c r="B8" s="372">
        <v>27</v>
      </c>
      <c r="C8" s="372">
        <v>0</v>
      </c>
      <c r="D8" s="372">
        <f>C8+B8</f>
        <v>27</v>
      </c>
      <c r="E8" s="372">
        <v>27</v>
      </c>
      <c r="F8" s="372">
        <v>0</v>
      </c>
      <c r="G8" s="372"/>
      <c r="H8" s="372"/>
      <c r="I8" s="372"/>
      <c r="J8" s="372">
        <f>F8+E8</f>
        <v>27</v>
      </c>
      <c r="K8" s="337">
        <f>J8/D8</f>
        <v>1</v>
      </c>
      <c r="L8" s="509"/>
    </row>
    <row r="9" spans="1:12">
      <c r="A9" s="3"/>
      <c r="B9" s="7"/>
      <c r="C9" s="1"/>
      <c r="D9" s="1"/>
      <c r="E9" s="1"/>
      <c r="F9" s="1"/>
      <c r="G9" s="1"/>
      <c r="H9" s="1"/>
      <c r="I9" s="1"/>
      <c r="J9" s="1"/>
    </row>
    <row r="10" spans="1:12" ht="15.75" thickBot="1">
      <c r="A10" s="3"/>
      <c r="B10" s="7"/>
      <c r="C10" s="1"/>
      <c r="D10" s="1"/>
      <c r="E10" s="1"/>
      <c r="F10" s="1"/>
      <c r="G10" s="1"/>
      <c r="H10" s="1"/>
      <c r="I10" s="1"/>
      <c r="J10" s="1"/>
    </row>
    <row r="11" spans="1:12" ht="54">
      <c r="A11" s="615" t="s">
        <v>1154</v>
      </c>
      <c r="B11" s="618" t="s">
        <v>793</v>
      </c>
      <c r="C11" s="618" t="s">
        <v>794</v>
      </c>
      <c r="D11" s="615" t="s">
        <v>1179</v>
      </c>
      <c r="E11" s="615" t="s">
        <v>1199</v>
      </c>
      <c r="F11" s="619" t="s">
        <v>1200</v>
      </c>
      <c r="G11" s="619" t="s">
        <v>662</v>
      </c>
      <c r="H11" s="619" t="s">
        <v>663</v>
      </c>
      <c r="I11" s="619" t="s">
        <v>664</v>
      </c>
      <c r="J11" s="615" t="s">
        <v>1201</v>
      </c>
      <c r="K11" s="664" t="s">
        <v>1176</v>
      </c>
      <c r="L11" s="615" t="s">
        <v>1180</v>
      </c>
    </row>
    <row r="12" spans="1:12" ht="33.75" customHeight="1">
      <c r="A12" s="259" t="s">
        <v>969</v>
      </c>
      <c r="B12" s="372">
        <v>26</v>
      </c>
      <c r="C12" s="372">
        <v>14</v>
      </c>
      <c r="D12" s="372">
        <f>C12+B12</f>
        <v>40</v>
      </c>
      <c r="E12" s="372">
        <v>26</v>
      </c>
      <c r="F12" s="372">
        <v>14</v>
      </c>
      <c r="G12" s="372"/>
      <c r="H12" s="372"/>
      <c r="I12" s="372"/>
      <c r="J12" s="372">
        <f>F12+E12</f>
        <v>40</v>
      </c>
      <c r="K12" s="337">
        <f>J12/D12</f>
        <v>1</v>
      </c>
      <c r="L12" s="667" t="s">
        <v>1181</v>
      </c>
    </row>
    <row r="13" spans="1:12">
      <c r="A13" s="259" t="s">
        <v>970</v>
      </c>
      <c r="B13" s="372">
        <v>3</v>
      </c>
      <c r="C13" s="372">
        <v>1</v>
      </c>
      <c r="D13" s="372">
        <f>C13+B13</f>
        <v>4</v>
      </c>
      <c r="E13" s="372">
        <v>2</v>
      </c>
      <c r="F13" s="372">
        <v>1</v>
      </c>
      <c r="G13" s="372"/>
      <c r="H13" s="372"/>
      <c r="I13" s="372"/>
      <c r="J13" s="372">
        <f>F13+E13</f>
        <v>3</v>
      </c>
      <c r="K13" s="337">
        <f>J13/D13</f>
        <v>0.75</v>
      </c>
      <c r="L13" s="509"/>
    </row>
    <row r="14" spans="1:12">
      <c r="A14" s="3"/>
      <c r="B14" s="7"/>
      <c r="C14" s="2"/>
      <c r="D14" s="2"/>
      <c r="E14" s="2"/>
      <c r="F14" s="2"/>
      <c r="G14" s="2"/>
      <c r="H14" s="2"/>
      <c r="I14" s="2"/>
      <c r="J14" s="2"/>
    </row>
    <row r="15" spans="1:12" ht="15.75" thickBot="1">
      <c r="A15" s="3"/>
      <c r="B15" s="7"/>
      <c r="C15" s="2"/>
      <c r="D15" s="2"/>
      <c r="E15" s="2"/>
      <c r="F15" s="2"/>
      <c r="G15" s="2"/>
      <c r="H15" s="2"/>
      <c r="I15" s="2"/>
      <c r="J15" s="2"/>
    </row>
    <row r="16" spans="1:12" ht="54">
      <c r="A16" s="615" t="s">
        <v>1155</v>
      </c>
      <c r="B16" s="618" t="s">
        <v>793</v>
      </c>
      <c r="C16" s="618" t="s">
        <v>794</v>
      </c>
      <c r="D16" s="615" t="s">
        <v>1179</v>
      </c>
      <c r="E16" s="615" t="s">
        <v>1199</v>
      </c>
      <c r="F16" s="619" t="s">
        <v>1200</v>
      </c>
      <c r="G16" s="619" t="s">
        <v>662</v>
      </c>
      <c r="H16" s="619" t="s">
        <v>663</v>
      </c>
      <c r="I16" s="619" t="s">
        <v>664</v>
      </c>
      <c r="J16" s="615" t="s">
        <v>1201</v>
      </c>
      <c r="K16" s="664" t="s">
        <v>1176</v>
      </c>
      <c r="L16" s="615" t="s">
        <v>1180</v>
      </c>
    </row>
    <row r="17" spans="1:12">
      <c r="A17" s="259" t="s">
        <v>969</v>
      </c>
      <c r="B17" s="372">
        <v>0</v>
      </c>
      <c r="C17" s="372">
        <v>0</v>
      </c>
      <c r="D17" s="372">
        <f t="shared" ref="D17:D20" si="1">C17+B17</f>
        <v>0</v>
      </c>
      <c r="E17" s="372">
        <v>0</v>
      </c>
      <c r="F17" s="372">
        <v>0</v>
      </c>
      <c r="G17" s="372"/>
      <c r="H17" s="372"/>
      <c r="I17" s="372"/>
      <c r="J17" s="372">
        <f t="shared" ref="J17:J20" si="2">F17+E17</f>
        <v>0</v>
      </c>
      <c r="K17" s="337" t="e">
        <f t="shared" ref="K17:K20" si="3">J17/D17</f>
        <v>#DIV/0!</v>
      </c>
      <c r="L17" s="509"/>
    </row>
    <row r="18" spans="1:12">
      <c r="A18" s="259" t="s">
        <v>970</v>
      </c>
      <c r="B18" s="372">
        <v>4</v>
      </c>
      <c r="C18" s="372">
        <v>3</v>
      </c>
      <c r="D18" s="372">
        <f t="shared" si="1"/>
        <v>7</v>
      </c>
      <c r="E18" s="372">
        <v>2</v>
      </c>
      <c r="F18" s="372">
        <v>3</v>
      </c>
      <c r="G18" s="372"/>
      <c r="H18" s="372"/>
      <c r="I18" s="372"/>
      <c r="J18" s="372">
        <f t="shared" si="2"/>
        <v>5</v>
      </c>
      <c r="K18" s="337">
        <f t="shared" si="3"/>
        <v>0.7142857142857143</v>
      </c>
      <c r="L18" s="509"/>
    </row>
    <row r="19" spans="1:12">
      <c r="A19" s="259" t="s">
        <v>971</v>
      </c>
      <c r="B19" s="372">
        <v>9</v>
      </c>
      <c r="C19" s="372">
        <v>3</v>
      </c>
      <c r="D19" s="372">
        <f t="shared" si="1"/>
        <v>12</v>
      </c>
      <c r="E19" s="372">
        <v>9</v>
      </c>
      <c r="F19" s="372">
        <v>3</v>
      </c>
      <c r="G19" s="372"/>
      <c r="H19" s="372"/>
      <c r="I19" s="372"/>
      <c r="J19" s="372">
        <f t="shared" si="2"/>
        <v>12</v>
      </c>
      <c r="K19" s="337">
        <f t="shared" si="3"/>
        <v>1</v>
      </c>
      <c r="L19" s="509"/>
    </row>
    <row r="20" spans="1:12">
      <c r="A20" s="259" t="s">
        <v>972</v>
      </c>
      <c r="B20" s="372">
        <v>104</v>
      </c>
      <c r="C20" s="372">
        <v>0</v>
      </c>
      <c r="D20" s="372">
        <f t="shared" si="1"/>
        <v>104</v>
      </c>
      <c r="E20" s="372">
        <v>104</v>
      </c>
      <c r="F20" s="372">
        <v>0</v>
      </c>
      <c r="G20" s="372"/>
      <c r="H20" s="372"/>
      <c r="I20" s="372"/>
      <c r="J20" s="372">
        <f t="shared" si="2"/>
        <v>104</v>
      </c>
      <c r="K20" s="337">
        <f t="shared" si="3"/>
        <v>1</v>
      </c>
      <c r="L20" s="509"/>
    </row>
    <row r="21" spans="1:12" ht="15.75" thickBot="1">
      <c r="A21" s="3"/>
      <c r="B21" s="7"/>
      <c r="C21" s="2"/>
      <c r="D21" s="2"/>
      <c r="E21" s="2"/>
      <c r="F21" s="2"/>
      <c r="G21" s="2"/>
      <c r="H21" s="2"/>
      <c r="I21" s="2"/>
      <c r="J21" s="2"/>
    </row>
    <row r="22" spans="1:12" ht="54">
      <c r="A22" s="615" t="s">
        <v>1156</v>
      </c>
      <c r="B22" s="618" t="s">
        <v>793</v>
      </c>
      <c r="C22" s="618" t="s">
        <v>794</v>
      </c>
      <c r="D22" s="615" t="s">
        <v>1179</v>
      </c>
      <c r="E22" s="615" t="s">
        <v>1199</v>
      </c>
      <c r="F22" s="619" t="s">
        <v>1200</v>
      </c>
      <c r="G22" s="619" t="s">
        <v>662</v>
      </c>
      <c r="H22" s="619" t="s">
        <v>663</v>
      </c>
      <c r="I22" s="619" t="s">
        <v>664</v>
      </c>
      <c r="J22" s="615" t="s">
        <v>1201</v>
      </c>
      <c r="K22" s="664" t="s">
        <v>1176</v>
      </c>
      <c r="L22" s="615" t="s">
        <v>1180</v>
      </c>
    </row>
    <row r="23" spans="1:12" ht="18">
      <c r="A23" s="259" t="s">
        <v>969</v>
      </c>
      <c r="B23" s="372">
        <v>19</v>
      </c>
      <c r="C23" s="642">
        <v>0</v>
      </c>
      <c r="D23" s="372">
        <f t="shared" ref="D23:D24" si="4">C23+B23</f>
        <v>19</v>
      </c>
      <c r="E23" s="642">
        <v>19</v>
      </c>
      <c r="F23" s="372">
        <v>0</v>
      </c>
      <c r="G23" s="613"/>
      <c r="H23" s="614"/>
      <c r="I23" s="613"/>
      <c r="J23" s="372">
        <f t="shared" ref="J23:J24" si="5">F23+E23</f>
        <v>19</v>
      </c>
      <c r="K23" s="337">
        <f>J23/D23</f>
        <v>1</v>
      </c>
      <c r="L23" s="509"/>
    </row>
    <row r="24" spans="1:12">
      <c r="A24" s="259" t="s">
        <v>970</v>
      </c>
      <c r="B24" s="372">
        <v>21</v>
      </c>
      <c r="C24" s="642">
        <v>0</v>
      </c>
      <c r="D24" s="372">
        <f t="shared" si="4"/>
        <v>21</v>
      </c>
      <c r="E24" s="642">
        <v>21</v>
      </c>
      <c r="F24" s="642">
        <v>0</v>
      </c>
      <c r="G24" s="642"/>
      <c r="H24" s="642"/>
      <c r="I24" s="642"/>
      <c r="J24" s="372">
        <f t="shared" si="5"/>
        <v>21</v>
      </c>
      <c r="K24" s="337">
        <f>J24/D24</f>
        <v>1</v>
      </c>
      <c r="L24" s="509"/>
    </row>
    <row r="25" spans="1:12" ht="15.75" thickBot="1">
      <c r="A25" s="3"/>
      <c r="B25" s="7"/>
      <c r="C25" s="2"/>
      <c r="D25" s="2"/>
      <c r="E25" s="2"/>
      <c r="F25" s="2"/>
      <c r="G25" s="2"/>
      <c r="H25" s="2"/>
      <c r="I25" s="2"/>
      <c r="J25" s="2"/>
    </row>
    <row r="26" spans="1:12" ht="54">
      <c r="A26" s="615" t="s">
        <v>1157</v>
      </c>
      <c r="B26" s="618" t="s">
        <v>793</v>
      </c>
      <c r="C26" s="618" t="s">
        <v>794</v>
      </c>
      <c r="D26" s="615" t="s">
        <v>1152</v>
      </c>
      <c r="E26" s="615" t="s">
        <v>1199</v>
      </c>
      <c r="F26" s="619" t="s">
        <v>1200</v>
      </c>
      <c r="G26" s="619" t="s">
        <v>662</v>
      </c>
      <c r="H26" s="619" t="s">
        <v>663</v>
      </c>
      <c r="I26" s="619" t="s">
        <v>664</v>
      </c>
      <c r="J26" s="615" t="s">
        <v>1201</v>
      </c>
      <c r="K26" s="615" t="s">
        <v>1176</v>
      </c>
      <c r="L26" s="615" t="s">
        <v>1180</v>
      </c>
    </row>
    <row r="27" spans="1:12">
      <c r="A27" s="259" t="s">
        <v>969</v>
      </c>
      <c r="B27" s="372">
        <v>3</v>
      </c>
      <c r="C27" s="372">
        <v>0</v>
      </c>
      <c r="D27" s="372">
        <f t="shared" ref="D27:D28" si="6">C27+B27</f>
        <v>3</v>
      </c>
      <c r="E27" s="642">
        <v>3</v>
      </c>
      <c r="F27" s="642">
        <v>0</v>
      </c>
      <c r="G27" s="642"/>
      <c r="H27" s="642"/>
      <c r="I27" s="642"/>
      <c r="J27" s="372">
        <f t="shared" ref="J27:J28" si="7">F27+E27</f>
        <v>3</v>
      </c>
      <c r="K27" s="337">
        <f>J27/D27</f>
        <v>1</v>
      </c>
      <c r="L27" s="509"/>
    </row>
    <row r="28" spans="1:12">
      <c r="A28" s="259" t="s">
        <v>970</v>
      </c>
      <c r="B28" s="372">
        <v>2</v>
      </c>
      <c r="C28" s="642">
        <v>0</v>
      </c>
      <c r="D28" s="372">
        <f t="shared" si="6"/>
        <v>2</v>
      </c>
      <c r="E28" s="642">
        <v>0</v>
      </c>
      <c r="F28" s="642">
        <v>0</v>
      </c>
      <c r="G28" s="642"/>
      <c r="H28" s="642"/>
      <c r="I28" s="642"/>
      <c r="J28" s="372">
        <f t="shared" si="7"/>
        <v>0</v>
      </c>
      <c r="K28" s="337">
        <v>0</v>
      </c>
      <c r="L28" s="509"/>
    </row>
    <row r="29" spans="1:12">
      <c r="A29" s="3"/>
      <c r="B29" s="7"/>
      <c r="C29" s="2"/>
      <c r="D29" s="2"/>
      <c r="E29" s="2"/>
      <c r="F29" s="2"/>
      <c r="G29" s="2"/>
      <c r="H29" s="2"/>
      <c r="I29" s="2"/>
      <c r="J29" s="2"/>
    </row>
    <row r="30" spans="1:12" ht="15.75" thickBot="1">
      <c r="A30" s="3"/>
      <c r="B30" s="7"/>
      <c r="C30" s="2"/>
      <c r="D30" s="2"/>
      <c r="E30" s="2"/>
      <c r="F30" s="2"/>
      <c r="G30" s="2"/>
      <c r="H30" s="2"/>
      <c r="I30" s="2"/>
      <c r="J30" s="2"/>
    </row>
    <row r="31" spans="1:12" ht="54">
      <c r="A31" s="615" t="s">
        <v>1158</v>
      </c>
      <c r="B31" s="618" t="s">
        <v>793</v>
      </c>
      <c r="C31" s="618" t="s">
        <v>794</v>
      </c>
      <c r="D31" s="615" t="s">
        <v>1179</v>
      </c>
      <c r="E31" s="615" t="s">
        <v>1199</v>
      </c>
      <c r="F31" s="619" t="s">
        <v>1200</v>
      </c>
      <c r="G31" s="619" t="s">
        <v>662</v>
      </c>
      <c r="H31" s="619" t="s">
        <v>663</v>
      </c>
      <c r="I31" s="619" t="s">
        <v>664</v>
      </c>
      <c r="J31" s="615" t="s">
        <v>1201</v>
      </c>
      <c r="K31" s="615" t="s">
        <v>1176</v>
      </c>
      <c r="L31" s="615" t="s">
        <v>1180</v>
      </c>
    </row>
    <row r="32" spans="1:12">
      <c r="A32" s="259" t="s">
        <v>969</v>
      </c>
      <c r="B32" s="372">
        <v>25</v>
      </c>
      <c r="C32" s="642">
        <v>1</v>
      </c>
      <c r="D32" s="372">
        <f t="shared" ref="D32" si="8">C32+B32</f>
        <v>26</v>
      </c>
      <c r="E32" s="642">
        <v>3</v>
      </c>
      <c r="F32" s="642">
        <v>1</v>
      </c>
      <c r="G32" s="642"/>
      <c r="H32" s="642"/>
      <c r="I32" s="642"/>
      <c r="J32" s="372">
        <f t="shared" ref="J32" si="9">F32+E32</f>
        <v>4</v>
      </c>
      <c r="K32" s="337">
        <f>J32/D32</f>
        <v>0.15384615384615385</v>
      </c>
      <c r="L32" s="509"/>
    </row>
    <row r="33" spans="1:12">
      <c r="A33" s="3"/>
      <c r="B33" s="7"/>
      <c r="C33" s="2"/>
      <c r="D33" s="2"/>
      <c r="E33" s="2"/>
      <c r="F33" s="2"/>
      <c r="G33" s="2"/>
      <c r="H33" s="2"/>
      <c r="I33" s="2"/>
      <c r="J33" s="2"/>
    </row>
    <row r="34" spans="1:12" ht="15.75" thickBot="1">
      <c r="A34" s="3"/>
      <c r="B34" s="7"/>
      <c r="C34" s="2"/>
      <c r="D34" s="2"/>
      <c r="E34" s="2"/>
      <c r="F34" s="2"/>
      <c r="G34" s="2"/>
      <c r="H34" s="2"/>
      <c r="I34" s="2"/>
      <c r="J34" s="2"/>
    </row>
    <row r="35" spans="1:12" ht="54">
      <c r="A35" s="615" t="s">
        <v>1159</v>
      </c>
      <c r="B35" s="618" t="s">
        <v>793</v>
      </c>
      <c r="C35" s="618" t="s">
        <v>794</v>
      </c>
      <c r="D35" s="615" t="s">
        <v>1179</v>
      </c>
      <c r="E35" s="615" t="s">
        <v>1199</v>
      </c>
      <c r="F35" s="619" t="s">
        <v>1200</v>
      </c>
      <c r="G35" s="619" t="s">
        <v>662</v>
      </c>
      <c r="H35" s="619" t="s">
        <v>663</v>
      </c>
      <c r="I35" s="619" t="s">
        <v>664</v>
      </c>
      <c r="J35" s="615" t="s">
        <v>1201</v>
      </c>
      <c r="K35" s="615" t="s">
        <v>1176</v>
      </c>
      <c r="L35" s="615" t="s">
        <v>1180</v>
      </c>
    </row>
    <row r="36" spans="1:12">
      <c r="A36" s="259" t="s">
        <v>969</v>
      </c>
      <c r="B36" s="372">
        <v>6</v>
      </c>
      <c r="C36" s="372">
        <v>0</v>
      </c>
      <c r="D36" s="372">
        <f t="shared" ref="D36:D38" si="10">C36+B36</f>
        <v>6</v>
      </c>
      <c r="E36" s="372">
        <v>6</v>
      </c>
      <c r="F36" s="372">
        <v>0</v>
      </c>
      <c r="G36" s="432"/>
      <c r="H36" s="432"/>
      <c r="I36" s="432"/>
      <c r="J36" s="372">
        <f t="shared" ref="J36:J38" si="11">F36+E36</f>
        <v>6</v>
      </c>
      <c r="K36" s="337">
        <f>J36/D36</f>
        <v>1</v>
      </c>
      <c r="L36" s="432"/>
    </row>
    <row r="37" spans="1:12">
      <c r="A37" s="259" t="s">
        <v>970</v>
      </c>
      <c r="B37" s="372">
        <v>16</v>
      </c>
      <c r="C37" s="372">
        <v>0</v>
      </c>
      <c r="D37" s="372">
        <f t="shared" si="10"/>
        <v>16</v>
      </c>
      <c r="E37" s="372">
        <v>12</v>
      </c>
      <c r="F37" s="372">
        <v>0</v>
      </c>
      <c r="G37" s="372"/>
      <c r="H37" s="372"/>
      <c r="I37" s="372"/>
      <c r="J37" s="372">
        <f t="shared" si="11"/>
        <v>12</v>
      </c>
      <c r="K37" s="337">
        <f>J37/D37</f>
        <v>0.75</v>
      </c>
      <c r="L37" s="432"/>
    </row>
    <row r="38" spans="1:12">
      <c r="A38" s="259" t="s">
        <v>971</v>
      </c>
      <c r="B38" s="372">
        <v>4</v>
      </c>
      <c r="C38" s="372">
        <v>0</v>
      </c>
      <c r="D38" s="372">
        <f t="shared" si="10"/>
        <v>4</v>
      </c>
      <c r="E38" s="372">
        <v>4</v>
      </c>
      <c r="F38" s="372">
        <v>0</v>
      </c>
      <c r="G38" s="372"/>
      <c r="H38" s="372"/>
      <c r="I38" s="372"/>
      <c r="J38" s="372">
        <f t="shared" si="11"/>
        <v>4</v>
      </c>
      <c r="K38" s="337">
        <f>J38/D38</f>
        <v>1</v>
      </c>
      <c r="L38" s="43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225EC-FE46-4182-A4DB-ED7E965C78A6}">
  <dimension ref="A2:AQ110"/>
  <sheetViews>
    <sheetView topLeftCell="A14" workbookViewId="0">
      <selection activeCell="A2" sqref="A1:XFD1048576"/>
    </sheetView>
  </sheetViews>
  <sheetFormatPr baseColWidth="10" defaultRowHeight="15"/>
  <cols>
    <col min="1" max="1" width="22.28515625" customWidth="1"/>
    <col min="2" max="3" width="19.140625" customWidth="1"/>
    <col min="4" max="4" width="18.140625" customWidth="1"/>
    <col min="5" max="5" width="23.140625" hidden="1" customWidth="1"/>
    <col min="6" max="6" width="22.5703125" customWidth="1"/>
    <col min="7" max="7" width="25.42578125" hidden="1" customWidth="1"/>
    <col min="8" max="8" width="22.42578125" hidden="1" customWidth="1"/>
    <col min="9" max="9" width="16.140625" hidden="1" customWidth="1"/>
    <col min="10" max="10" width="26.5703125" hidden="1" customWidth="1"/>
    <col min="11" max="11" width="28.85546875" customWidth="1"/>
    <col min="12" max="12" width="25.140625" customWidth="1"/>
    <col min="13" max="13" width="21.85546875" hidden="1" customWidth="1"/>
    <col min="14" max="14" width="22.85546875" customWidth="1"/>
    <col min="15" max="15" width="27.7109375" hidden="1" customWidth="1"/>
    <col min="16" max="16" width="15.5703125" hidden="1" customWidth="1"/>
    <col min="17" max="17" width="15.140625" hidden="1" customWidth="1"/>
    <col min="18" max="19" width="16.140625" hidden="1" customWidth="1"/>
    <col min="20" max="20" width="16.28515625" hidden="1" customWidth="1"/>
    <col min="21" max="21" width="25.7109375" customWidth="1"/>
    <col min="22" max="22" width="22.140625" customWidth="1"/>
    <col min="23" max="23" width="23.42578125" hidden="1" customWidth="1"/>
    <col min="24" max="24" width="27.5703125" customWidth="1"/>
    <col min="25" max="25" width="16.7109375" hidden="1" customWidth="1"/>
    <col min="26" max="26" width="18.140625" hidden="1" customWidth="1"/>
    <col min="27" max="27" width="16.42578125" hidden="1" customWidth="1"/>
    <col min="28" max="29" width="16.42578125" customWidth="1"/>
    <col min="30" max="30" width="17.28515625" customWidth="1"/>
    <col min="31" max="34" width="16.42578125" hidden="1" customWidth="1"/>
    <col min="35" max="35" width="19.42578125" hidden="1" customWidth="1"/>
    <col min="36" max="36" width="22.42578125" hidden="1" customWidth="1"/>
    <col min="37" max="38" width="17.85546875" hidden="1" customWidth="1"/>
    <col min="39" max="39" width="17.85546875" customWidth="1"/>
    <col min="40" max="40" width="23" customWidth="1"/>
    <col min="41" max="41" width="20.7109375" customWidth="1"/>
    <col min="42" max="42" width="25.42578125" customWidth="1"/>
  </cols>
  <sheetData>
    <row r="2" spans="1:43" ht="15" customHeight="1">
      <c r="A2" s="925" t="s">
        <v>1208</v>
      </c>
      <c r="B2" s="925"/>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5"/>
      <c r="AC2" s="925"/>
      <c r="AD2" s="925"/>
      <c r="AE2" s="925"/>
      <c r="AF2" s="925"/>
      <c r="AG2" s="925"/>
      <c r="AH2" s="925"/>
      <c r="AI2" s="925"/>
      <c r="AJ2" s="925"/>
      <c r="AK2" s="925"/>
      <c r="AL2" s="925"/>
      <c r="AM2" s="925"/>
      <c r="AN2" s="925"/>
      <c r="AO2" s="925"/>
    </row>
    <row r="3" spans="1:43" ht="15" customHeight="1">
      <c r="A3" s="925"/>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5"/>
      <c r="AO3" s="925"/>
    </row>
    <row r="4" spans="1:43" ht="30" customHeight="1">
      <c r="A4" s="910" t="s">
        <v>1160</v>
      </c>
      <c r="B4" s="910"/>
      <c r="C4" s="910"/>
      <c r="D4" s="910"/>
      <c r="E4" s="910"/>
      <c r="F4" s="910"/>
      <c r="G4" s="910"/>
      <c r="H4" s="910"/>
      <c r="I4" s="910"/>
      <c r="J4" s="910"/>
      <c r="K4" s="911" t="s">
        <v>1161</v>
      </c>
      <c r="L4" s="911"/>
      <c r="M4" s="911"/>
      <c r="N4" s="911"/>
      <c r="O4" s="911"/>
      <c r="P4" s="911"/>
      <c r="Q4" s="911"/>
      <c r="R4" s="912" t="s">
        <v>945</v>
      </c>
      <c r="S4" s="912" t="s">
        <v>946</v>
      </c>
      <c r="T4" s="912" t="s">
        <v>947</v>
      </c>
      <c r="U4" s="915" t="s">
        <v>1162</v>
      </c>
      <c r="V4" s="915"/>
      <c r="W4" s="915"/>
      <c r="X4" s="915"/>
      <c r="Y4" s="915"/>
      <c r="Z4" s="915"/>
      <c r="AA4" s="915"/>
      <c r="AB4" s="903" t="s">
        <v>1163</v>
      </c>
      <c r="AC4" s="903"/>
      <c r="AD4" s="903"/>
      <c r="AE4" s="903"/>
      <c r="AF4" s="903"/>
      <c r="AG4" s="903"/>
      <c r="AH4" s="903"/>
      <c r="AI4" s="904" t="s">
        <v>950</v>
      </c>
      <c r="AJ4" s="904" t="s">
        <v>951</v>
      </c>
      <c r="AK4" s="904" t="s">
        <v>952</v>
      </c>
      <c r="AL4" s="926"/>
      <c r="AM4" s="927" t="s">
        <v>1209</v>
      </c>
      <c r="AN4" s="927" t="s">
        <v>1210</v>
      </c>
      <c r="AO4" s="927" t="s">
        <v>1211</v>
      </c>
      <c r="AP4" s="928" t="s">
        <v>1212</v>
      </c>
    </row>
    <row r="5" spans="1:43" ht="15" customHeight="1">
      <c r="A5" s="905" t="s">
        <v>639</v>
      </c>
      <c r="B5" s="906" t="s">
        <v>953</v>
      </c>
      <c r="C5" s="906" t="s">
        <v>954</v>
      </c>
      <c r="D5" s="906" t="s">
        <v>955</v>
      </c>
      <c r="E5" s="906" t="s">
        <v>956</v>
      </c>
      <c r="F5" s="906" t="s">
        <v>957</v>
      </c>
      <c r="G5" s="906" t="s">
        <v>667</v>
      </c>
      <c r="H5" s="906" t="s">
        <v>958</v>
      </c>
      <c r="I5" s="906" t="s">
        <v>691</v>
      </c>
      <c r="J5" s="905" t="s">
        <v>959</v>
      </c>
      <c r="K5" s="914" t="s">
        <v>960</v>
      </c>
      <c r="L5" s="914" t="s">
        <v>961</v>
      </c>
      <c r="M5" s="914" t="s">
        <v>956</v>
      </c>
      <c r="N5" s="914" t="s">
        <v>962</v>
      </c>
      <c r="O5" s="914" t="s">
        <v>667</v>
      </c>
      <c r="P5" s="914" t="s">
        <v>958</v>
      </c>
      <c r="Q5" s="914" t="s">
        <v>691</v>
      </c>
      <c r="R5" s="912"/>
      <c r="S5" s="912"/>
      <c r="T5" s="912"/>
      <c r="U5" s="913" t="s">
        <v>963</v>
      </c>
      <c r="V5" s="913" t="s">
        <v>964</v>
      </c>
      <c r="W5" s="913" t="s">
        <v>956</v>
      </c>
      <c r="X5" s="913" t="s">
        <v>965</v>
      </c>
      <c r="Y5" s="913" t="s">
        <v>667</v>
      </c>
      <c r="Z5" s="913" t="s">
        <v>958</v>
      </c>
      <c r="AA5" s="913" t="s">
        <v>691</v>
      </c>
      <c r="AB5" s="926" t="s">
        <v>966</v>
      </c>
      <c r="AC5" s="926" t="s">
        <v>967</v>
      </c>
      <c r="AD5" s="926" t="s">
        <v>956</v>
      </c>
      <c r="AE5" s="926" t="s">
        <v>968</v>
      </c>
      <c r="AF5" s="926" t="s">
        <v>667</v>
      </c>
      <c r="AG5" s="926" t="s">
        <v>958</v>
      </c>
      <c r="AH5" s="926" t="s">
        <v>691</v>
      </c>
      <c r="AI5" s="904"/>
      <c r="AJ5" s="904"/>
      <c r="AK5" s="904"/>
      <c r="AL5" s="926"/>
      <c r="AM5" s="927"/>
      <c r="AN5" s="927"/>
      <c r="AO5" s="927"/>
      <c r="AP5" s="929"/>
    </row>
    <row r="6" spans="1:43" ht="60.75" customHeight="1">
      <c r="A6" s="905"/>
      <c r="B6" s="906"/>
      <c r="C6" s="906"/>
      <c r="D6" s="906"/>
      <c r="E6" s="906"/>
      <c r="F6" s="906"/>
      <c r="G6" s="906"/>
      <c r="H6" s="906"/>
      <c r="I6" s="906"/>
      <c r="J6" s="905"/>
      <c r="K6" s="914"/>
      <c r="L6" s="914"/>
      <c r="M6" s="914"/>
      <c r="N6" s="914"/>
      <c r="O6" s="914"/>
      <c r="P6" s="914"/>
      <c r="Q6" s="914"/>
      <c r="R6" s="912"/>
      <c r="S6" s="912"/>
      <c r="T6" s="912"/>
      <c r="U6" s="913"/>
      <c r="V6" s="913"/>
      <c r="W6" s="913"/>
      <c r="X6" s="913"/>
      <c r="Y6" s="913"/>
      <c r="Z6" s="913"/>
      <c r="AA6" s="913"/>
      <c r="AB6" s="926"/>
      <c r="AC6" s="926"/>
      <c r="AD6" s="926"/>
      <c r="AE6" s="926"/>
      <c r="AF6" s="926"/>
      <c r="AG6" s="926"/>
      <c r="AH6" s="926"/>
      <c r="AI6" s="904"/>
      <c r="AJ6" s="904"/>
      <c r="AK6" s="904"/>
      <c r="AL6" s="926"/>
      <c r="AM6" s="927"/>
      <c r="AN6" s="927"/>
      <c r="AO6" s="927"/>
      <c r="AP6" s="930"/>
    </row>
    <row r="7" spans="1:43">
      <c r="A7" s="677" t="s">
        <v>644</v>
      </c>
      <c r="B7" s="678">
        <v>49</v>
      </c>
      <c r="C7" s="678">
        <f>C8+C9+C10</f>
        <v>8</v>
      </c>
      <c r="D7" s="678">
        <f>D8+D9+D10</f>
        <v>7</v>
      </c>
      <c r="E7" s="644">
        <f>D7/B7*100%</f>
        <v>0.14285714285714285</v>
      </c>
      <c r="F7" s="644">
        <f>AVERAGE(F8,F9,F10)</f>
        <v>0.58333333333333337</v>
      </c>
      <c r="G7" s="645">
        <f>G8+G9+G10</f>
        <v>876375074</v>
      </c>
      <c r="H7" s="645"/>
      <c r="I7" s="679">
        <f>H7/G7*100%</f>
        <v>0</v>
      </c>
      <c r="J7" s="647"/>
      <c r="K7" s="678">
        <f>K9+K10</f>
        <v>10</v>
      </c>
      <c r="L7" s="678">
        <f>L9+L10</f>
        <v>12</v>
      </c>
      <c r="M7" s="644">
        <f>L7/B7</f>
        <v>0.24489795918367346</v>
      </c>
      <c r="N7" s="644">
        <f>L7/K7</f>
        <v>1.2</v>
      </c>
      <c r="O7" s="645"/>
      <c r="P7" s="645"/>
      <c r="Q7" s="679"/>
      <c r="R7" s="679"/>
      <c r="S7" s="679"/>
      <c r="T7" s="646"/>
      <c r="U7" s="678">
        <f>U8+U9+U10</f>
        <v>12</v>
      </c>
      <c r="V7" s="678">
        <f>V8+V9+V10</f>
        <v>13</v>
      </c>
      <c r="W7" s="644">
        <f>V7/B7</f>
        <v>0.26530612244897961</v>
      </c>
      <c r="X7" s="644">
        <f>AVERAGE(X9,X10,X11)</f>
        <v>1.125</v>
      </c>
      <c r="Y7" s="645"/>
      <c r="Z7" s="645"/>
      <c r="AA7" s="679"/>
      <c r="AB7" s="680">
        <f>AB8+AB9+AB10</f>
        <v>19</v>
      </c>
      <c r="AC7" s="680">
        <f>AC8+AC9+AC10</f>
        <v>17</v>
      </c>
      <c r="AD7" s="679">
        <f>AVERAGE(AD8:AD10)</f>
        <v>0.92592592592592593</v>
      </c>
      <c r="AE7" s="679">
        <f>AVERAGE(AE8:AE10)</f>
        <v>0.40362318840579708</v>
      </c>
      <c r="AF7" s="679"/>
      <c r="AG7" s="679"/>
      <c r="AH7" s="679"/>
      <c r="AI7" s="679"/>
      <c r="AJ7" s="679"/>
      <c r="AK7" s="646"/>
      <c r="AL7" s="646"/>
      <c r="AM7" s="677" t="s">
        <v>644</v>
      </c>
      <c r="AN7" s="680">
        <f>AN8+AN9+AN10</f>
        <v>49</v>
      </c>
      <c r="AO7" s="680">
        <f>AO8+AO9+AO10</f>
        <v>49</v>
      </c>
      <c r="AP7" s="681">
        <f>AN7/AO7*100</f>
        <v>100</v>
      </c>
      <c r="AQ7" s="379">
        <f>AVERAGE(AP7:AP11)</f>
        <v>98.125</v>
      </c>
    </row>
    <row r="8" spans="1:43">
      <c r="A8" s="610" t="s">
        <v>969</v>
      </c>
      <c r="B8" s="682">
        <v>10</v>
      </c>
      <c r="C8" s="611">
        <v>0</v>
      </c>
      <c r="D8" s="611">
        <v>0</v>
      </c>
      <c r="E8" s="511">
        <f>D8/B8*100</f>
        <v>0</v>
      </c>
      <c r="F8" s="620">
        <v>0</v>
      </c>
      <c r="G8" s="621">
        <v>648375074</v>
      </c>
      <c r="H8" s="621"/>
      <c r="I8" s="511">
        <f>H8/G8*100%</f>
        <v>0</v>
      </c>
      <c r="J8" s="510"/>
      <c r="K8" s="372">
        <v>0</v>
      </c>
      <c r="L8" s="611">
        <v>0</v>
      </c>
      <c r="M8" s="511">
        <f>L8/B8</f>
        <v>0</v>
      </c>
      <c r="N8" s="620" t="e">
        <f>L8/K8</f>
        <v>#DIV/0!</v>
      </c>
      <c r="O8" s="621"/>
      <c r="P8" s="621"/>
      <c r="Q8" s="511"/>
      <c r="R8" s="622"/>
      <c r="S8" s="622"/>
      <c r="T8" s="610"/>
      <c r="U8" s="611">
        <v>1</v>
      </c>
      <c r="V8" s="611">
        <v>1</v>
      </c>
      <c r="W8" s="511">
        <f>V8/B8</f>
        <v>0.1</v>
      </c>
      <c r="X8" s="620">
        <f>V8/U8</f>
        <v>1</v>
      </c>
      <c r="Y8" s="621"/>
      <c r="Z8" s="621"/>
      <c r="AA8" s="511"/>
      <c r="AB8" s="512">
        <v>9</v>
      </c>
      <c r="AC8" s="512">
        <v>7</v>
      </c>
      <c r="AD8" s="511">
        <f>AC8/AB8</f>
        <v>0.77777777777777779</v>
      </c>
      <c r="AE8" s="511">
        <f>AC8/B8</f>
        <v>0.7</v>
      </c>
      <c r="AF8" s="511"/>
      <c r="AG8" s="511"/>
      <c r="AH8" s="511"/>
      <c r="AI8" s="622"/>
      <c r="AJ8" s="622"/>
      <c r="AK8" s="509"/>
      <c r="AL8" s="509"/>
      <c r="AM8" s="610" t="s">
        <v>969</v>
      </c>
      <c r="AN8" s="683">
        <f>AC8+V8+L8+D8</f>
        <v>8</v>
      </c>
      <c r="AO8" s="611">
        <v>10</v>
      </c>
      <c r="AP8" s="336">
        <f t="shared" ref="AP8:AP10" si="0">AN8/AO8*100</f>
        <v>80</v>
      </c>
    </row>
    <row r="9" spans="1:43">
      <c r="A9" s="610" t="s">
        <v>970</v>
      </c>
      <c r="B9" s="682">
        <v>23</v>
      </c>
      <c r="C9" s="611">
        <v>4</v>
      </c>
      <c r="D9" s="611">
        <v>4</v>
      </c>
      <c r="E9" s="511">
        <f>D9/B9*100%</f>
        <v>0.17391304347826086</v>
      </c>
      <c r="F9" s="620">
        <f t="shared" ref="F9:F10" si="1">D9/C9*100%</f>
        <v>1</v>
      </c>
      <c r="G9" s="621">
        <v>114000000</v>
      </c>
      <c r="H9" s="621"/>
      <c r="I9" s="511">
        <f t="shared" ref="I9:I10" si="2">H9/G9*100%</f>
        <v>0</v>
      </c>
      <c r="J9" s="510"/>
      <c r="K9" s="372">
        <v>6</v>
      </c>
      <c r="L9" s="611">
        <v>6</v>
      </c>
      <c r="M9" s="511">
        <f t="shared" ref="M9:M10" si="3">L9/B9</f>
        <v>0.2608695652173913</v>
      </c>
      <c r="N9" s="620">
        <f t="shared" ref="N9:N10" si="4">L9/K9</f>
        <v>1</v>
      </c>
      <c r="O9" s="621"/>
      <c r="P9" s="621"/>
      <c r="Q9" s="511"/>
      <c r="R9" s="622"/>
      <c r="S9" s="622"/>
      <c r="T9" s="610"/>
      <c r="U9" s="611">
        <v>7</v>
      </c>
      <c r="V9" s="611">
        <v>7</v>
      </c>
      <c r="W9" s="511">
        <f t="shared" ref="W9:W10" si="5">V9/B9</f>
        <v>0.30434782608695654</v>
      </c>
      <c r="X9" s="620">
        <f t="shared" ref="X9:X10" si="6">V9/U9</f>
        <v>1</v>
      </c>
      <c r="Y9" s="621"/>
      <c r="Z9" s="621"/>
      <c r="AA9" s="511"/>
      <c r="AB9" s="512">
        <v>6</v>
      </c>
      <c r="AC9" s="512">
        <v>6</v>
      </c>
      <c r="AD9" s="511">
        <f t="shared" ref="AD9:AD10" si="7">AC9/AB9</f>
        <v>1</v>
      </c>
      <c r="AE9" s="511">
        <f t="shared" ref="AE9:AE10" si="8">AC9/B9</f>
        <v>0.2608695652173913</v>
      </c>
      <c r="AF9" s="511"/>
      <c r="AG9" s="511"/>
      <c r="AH9" s="511"/>
      <c r="AI9" s="622"/>
      <c r="AJ9" s="622"/>
      <c r="AK9" s="509"/>
      <c r="AL9" s="509"/>
      <c r="AM9" s="610" t="s">
        <v>970</v>
      </c>
      <c r="AN9" s="683">
        <f t="shared" ref="AN9:AN10" si="9">AC9+V9+L9+D9</f>
        <v>23</v>
      </c>
      <c r="AO9" s="611">
        <v>23</v>
      </c>
      <c r="AP9" s="336">
        <f t="shared" si="0"/>
        <v>100</v>
      </c>
    </row>
    <row r="10" spans="1:43">
      <c r="A10" s="610" t="s">
        <v>971</v>
      </c>
      <c r="B10" s="682">
        <v>16</v>
      </c>
      <c r="C10" s="611">
        <v>4</v>
      </c>
      <c r="D10" s="611">
        <v>3</v>
      </c>
      <c r="E10" s="511">
        <f>D10/B10*100%</f>
        <v>0.1875</v>
      </c>
      <c r="F10" s="620">
        <f t="shared" si="1"/>
        <v>0.75</v>
      </c>
      <c r="G10" s="621">
        <v>114000000</v>
      </c>
      <c r="H10" s="621"/>
      <c r="I10" s="511">
        <f t="shared" si="2"/>
        <v>0</v>
      </c>
      <c r="J10" s="510"/>
      <c r="K10" s="372">
        <v>4</v>
      </c>
      <c r="L10" s="611">
        <v>6</v>
      </c>
      <c r="M10" s="511">
        <f t="shared" si="3"/>
        <v>0.375</v>
      </c>
      <c r="N10" s="620">
        <f t="shared" si="4"/>
        <v>1.5</v>
      </c>
      <c r="O10" s="621"/>
      <c r="P10" s="621"/>
      <c r="Q10" s="511"/>
      <c r="R10" s="622"/>
      <c r="S10" s="622"/>
      <c r="T10" s="610"/>
      <c r="U10" s="611">
        <v>4</v>
      </c>
      <c r="V10" s="611">
        <v>5</v>
      </c>
      <c r="W10" s="511">
        <f t="shared" si="5"/>
        <v>0.3125</v>
      </c>
      <c r="X10" s="620">
        <f t="shared" si="6"/>
        <v>1.25</v>
      </c>
      <c r="Y10" s="621"/>
      <c r="Z10" s="621"/>
      <c r="AA10" s="511"/>
      <c r="AB10" s="512">
        <v>4</v>
      </c>
      <c r="AC10" s="512">
        <v>4</v>
      </c>
      <c r="AD10" s="511">
        <f t="shared" si="7"/>
        <v>1</v>
      </c>
      <c r="AE10" s="511">
        <f t="shared" si="8"/>
        <v>0.25</v>
      </c>
      <c r="AF10" s="511"/>
      <c r="AG10" s="511"/>
      <c r="AH10" s="511"/>
      <c r="AI10" s="622"/>
      <c r="AJ10" s="622"/>
      <c r="AK10" s="509"/>
      <c r="AL10" s="509"/>
      <c r="AM10" s="610" t="s">
        <v>971</v>
      </c>
      <c r="AN10" s="683">
        <f t="shared" si="9"/>
        <v>18</v>
      </c>
      <c r="AO10" s="611">
        <v>16</v>
      </c>
      <c r="AP10" s="336">
        <f t="shared" si="0"/>
        <v>112.5</v>
      </c>
    </row>
    <row r="11" spans="1:43">
      <c r="A11" s="610"/>
      <c r="B11" s="610"/>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509"/>
      <c r="AL11" s="509"/>
      <c r="AM11" s="610"/>
      <c r="AN11" s="509"/>
      <c r="AO11" s="610"/>
      <c r="AP11" s="336"/>
    </row>
    <row r="12" spans="1:43">
      <c r="A12" s="677" t="s">
        <v>645</v>
      </c>
      <c r="B12" s="678">
        <f>B13+B14</f>
        <v>765</v>
      </c>
      <c r="C12" s="678">
        <f t="shared" ref="C12" si="10">C13+C14</f>
        <v>200</v>
      </c>
      <c r="D12" s="678">
        <f>D13+D14</f>
        <v>193</v>
      </c>
      <c r="E12" s="644">
        <f>D12/B12*100%</f>
        <v>0.2522875816993464</v>
      </c>
      <c r="F12" s="644">
        <f>AVERAGE(F13,F14)</f>
        <v>0.97878787878787876</v>
      </c>
      <c r="G12" s="645">
        <f>G13+G14</f>
        <v>59599968609</v>
      </c>
      <c r="H12" s="645"/>
      <c r="I12" s="679">
        <f>H12/G12*100%</f>
        <v>0</v>
      </c>
      <c r="J12" s="647"/>
      <c r="K12" s="678">
        <f>K13+K14</f>
        <v>185</v>
      </c>
      <c r="L12" s="678">
        <f>L13+L14</f>
        <v>185</v>
      </c>
      <c r="M12" s="644">
        <f>L12/B12</f>
        <v>0.24183006535947713</v>
      </c>
      <c r="N12" s="644">
        <f>L12/K12</f>
        <v>1</v>
      </c>
      <c r="O12" s="645"/>
      <c r="P12" s="645"/>
      <c r="Q12" s="679"/>
      <c r="R12" s="679"/>
      <c r="S12" s="679"/>
      <c r="T12" s="646"/>
      <c r="U12" s="680">
        <f>U13+U14</f>
        <v>188</v>
      </c>
      <c r="V12" s="678">
        <f>V13+V14+V15</f>
        <v>188</v>
      </c>
      <c r="W12" s="644">
        <f>V12/B12</f>
        <v>0.24575163398692809</v>
      </c>
      <c r="X12" s="644">
        <f>AVERAGE(X14,X15,X16)</f>
        <v>0.91666666666666663</v>
      </c>
      <c r="Y12" s="645"/>
      <c r="Z12" s="645"/>
      <c r="AA12" s="679"/>
      <c r="AB12" s="680">
        <f>AB13+AB14</f>
        <v>192</v>
      </c>
      <c r="AC12" s="680">
        <f>AC13+AC14</f>
        <v>192</v>
      </c>
      <c r="AD12" s="679">
        <f>AVERAGE(AD13:AD15)</f>
        <v>1</v>
      </c>
      <c r="AE12" s="679">
        <f>AVERAGE(AE13:AE15)</f>
        <v>0.24961540613112554</v>
      </c>
      <c r="AF12" s="679"/>
      <c r="AG12" s="679"/>
      <c r="AH12" s="679"/>
      <c r="AI12" s="679"/>
      <c r="AJ12" s="679"/>
      <c r="AK12" s="646"/>
      <c r="AL12" s="646"/>
      <c r="AM12" s="677" t="s">
        <v>645</v>
      </c>
      <c r="AN12" s="680">
        <f>AN13+AN14</f>
        <v>758</v>
      </c>
      <c r="AO12" s="678">
        <f>AO13+AO14</f>
        <v>785</v>
      </c>
      <c r="AP12" s="643">
        <f>AN12/AO12*100</f>
        <v>96.560509554140125</v>
      </c>
      <c r="AQ12" s="379">
        <f>AVERAGE(AP13:AP14)</f>
        <v>98.002958579881664</v>
      </c>
    </row>
    <row r="13" spans="1:43">
      <c r="A13" s="610" t="s">
        <v>969</v>
      </c>
      <c r="B13" s="682">
        <v>656</v>
      </c>
      <c r="C13" s="611">
        <v>165</v>
      </c>
      <c r="D13" s="611">
        <v>158</v>
      </c>
      <c r="E13" s="511">
        <f>D13/B13*100%</f>
        <v>0.24085365853658536</v>
      </c>
      <c r="F13" s="620">
        <f>D13/C13*100%</f>
        <v>0.95757575757575752</v>
      </c>
      <c r="G13" s="621">
        <v>3136460946</v>
      </c>
      <c r="H13" s="621"/>
      <c r="I13" s="511">
        <f>H13/G13*100%</f>
        <v>0</v>
      </c>
      <c r="J13" s="510"/>
      <c r="K13" s="372">
        <v>161</v>
      </c>
      <c r="L13" s="372">
        <v>161</v>
      </c>
      <c r="M13" s="511">
        <f t="shared" ref="M13:M14" si="11">L13/B13</f>
        <v>0.24542682926829268</v>
      </c>
      <c r="N13" s="620">
        <f t="shared" ref="N13:N14" si="12">L13/K13</f>
        <v>1</v>
      </c>
      <c r="O13" s="621"/>
      <c r="P13" s="621"/>
      <c r="Q13" s="511"/>
      <c r="R13" s="620"/>
      <c r="S13" s="620"/>
      <c r="T13" s="610"/>
      <c r="U13" s="611">
        <v>165</v>
      </c>
      <c r="V13" s="611">
        <v>165</v>
      </c>
      <c r="W13" s="511">
        <f>V13/B13</f>
        <v>0.25152439024390244</v>
      </c>
      <c r="X13" s="620">
        <f>V13/U13</f>
        <v>1</v>
      </c>
      <c r="Y13" s="621"/>
      <c r="Z13" s="621"/>
      <c r="AA13" s="511"/>
      <c r="AB13" s="512">
        <v>165</v>
      </c>
      <c r="AC13" s="512">
        <v>165</v>
      </c>
      <c r="AD13" s="511">
        <f t="shared" ref="AD13:AD14" si="13">AC13/AB13</f>
        <v>1</v>
      </c>
      <c r="AE13" s="511">
        <f>AC13/B13</f>
        <v>0.25152439024390244</v>
      </c>
      <c r="AF13" s="511"/>
      <c r="AG13" s="511"/>
      <c r="AH13" s="511"/>
      <c r="AI13" s="620"/>
      <c r="AJ13" s="620"/>
      <c r="AK13" s="509"/>
      <c r="AL13" s="509"/>
      <c r="AM13" s="610" t="s">
        <v>969</v>
      </c>
      <c r="AN13" s="683">
        <f>AC13+V13+L13+D13</f>
        <v>649</v>
      </c>
      <c r="AO13" s="611">
        <v>676</v>
      </c>
      <c r="AP13" s="336">
        <f t="shared" ref="AP13:AP14" si="14">AN13/AO13*100</f>
        <v>96.005917159763314</v>
      </c>
    </row>
    <row r="14" spans="1:43">
      <c r="A14" s="610" t="s">
        <v>970</v>
      </c>
      <c r="B14" s="682">
        <v>109</v>
      </c>
      <c r="C14" s="611">
        <v>35</v>
      </c>
      <c r="D14" s="611">
        <v>35</v>
      </c>
      <c r="E14" s="511">
        <f>D14/B14*100%</f>
        <v>0.32110091743119268</v>
      </c>
      <c r="F14" s="620">
        <f>D14/C14*100%</f>
        <v>1</v>
      </c>
      <c r="G14" s="621">
        <v>56463507663</v>
      </c>
      <c r="H14" s="621"/>
      <c r="I14" s="511">
        <f>H14/G14*100%</f>
        <v>0</v>
      </c>
      <c r="J14" s="510"/>
      <c r="K14" s="372">
        <v>24</v>
      </c>
      <c r="L14" s="372">
        <v>24</v>
      </c>
      <c r="M14" s="511">
        <f t="shared" si="11"/>
        <v>0.22018348623853212</v>
      </c>
      <c r="N14" s="620">
        <f t="shared" si="12"/>
        <v>1</v>
      </c>
      <c r="O14" s="621"/>
      <c r="P14" s="621"/>
      <c r="Q14" s="511"/>
      <c r="R14" s="620"/>
      <c r="S14" s="620"/>
      <c r="T14" s="610"/>
      <c r="U14" s="611">
        <v>23</v>
      </c>
      <c r="V14" s="611">
        <v>23</v>
      </c>
      <c r="W14" s="511">
        <f>V14/B14</f>
        <v>0.21100917431192662</v>
      </c>
      <c r="X14" s="620">
        <f>V14/U14</f>
        <v>1</v>
      </c>
      <c r="Y14" s="621"/>
      <c r="Z14" s="621"/>
      <c r="AA14" s="511"/>
      <c r="AB14" s="512">
        <f>'[2]CUARTO TRIMESTRE'!D8</f>
        <v>27</v>
      </c>
      <c r="AC14" s="512">
        <f>'[2]CUARTO TRIMESTRE'!J8</f>
        <v>27</v>
      </c>
      <c r="AD14" s="511">
        <f t="shared" si="13"/>
        <v>1</v>
      </c>
      <c r="AE14" s="511">
        <f>AC14/B14</f>
        <v>0.24770642201834864</v>
      </c>
      <c r="AF14" s="511"/>
      <c r="AG14" s="511"/>
      <c r="AH14" s="511"/>
      <c r="AI14" s="620"/>
      <c r="AJ14" s="620"/>
      <c r="AK14" s="509"/>
      <c r="AL14" s="509"/>
      <c r="AM14" s="610" t="s">
        <v>970</v>
      </c>
      <c r="AN14" s="683">
        <f>AC14+V14+L14+D14</f>
        <v>109</v>
      </c>
      <c r="AO14" s="611">
        <v>109</v>
      </c>
      <c r="AP14" s="336">
        <f t="shared" si="14"/>
        <v>100</v>
      </c>
    </row>
    <row r="15" spans="1:43">
      <c r="A15" s="610"/>
      <c r="B15" s="610"/>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509"/>
      <c r="AL15" s="509"/>
      <c r="AM15" s="610"/>
      <c r="AN15" s="509"/>
      <c r="AO15" s="610"/>
      <c r="AP15" s="684"/>
    </row>
    <row r="16" spans="1:43">
      <c r="A16" s="677" t="s">
        <v>646</v>
      </c>
      <c r="B16" s="678">
        <f>B17+B18</f>
        <v>7646</v>
      </c>
      <c r="C16" s="678">
        <f t="shared" ref="C16:D16" si="15">C17+C18</f>
        <v>3376</v>
      </c>
      <c r="D16" s="678">
        <f t="shared" si="15"/>
        <v>3384</v>
      </c>
      <c r="E16" s="644">
        <f>D16/B16*100%</f>
        <v>0.44258435783416167</v>
      </c>
      <c r="F16" s="644">
        <f>AVERAGE(F17,F18)</f>
        <v>1.0011858879335902</v>
      </c>
      <c r="G16" s="645">
        <f>G17+G18</f>
        <v>86291752748</v>
      </c>
      <c r="H16" s="645"/>
      <c r="I16" s="679">
        <f>H16/G16*100%</f>
        <v>0</v>
      </c>
      <c r="J16" s="647"/>
      <c r="K16" s="678">
        <f>K17+K18</f>
        <v>3283</v>
      </c>
      <c r="L16" s="678">
        <f>L17+L18</f>
        <v>3205</v>
      </c>
      <c r="M16" s="644">
        <f>L16/B16</f>
        <v>0.41917342401255558</v>
      </c>
      <c r="N16" s="644">
        <f>L16/K16</f>
        <v>0.97624124276576307</v>
      </c>
      <c r="O16" s="645"/>
      <c r="P16" s="645"/>
      <c r="Q16" s="679"/>
      <c r="R16" s="679"/>
      <c r="S16" s="679"/>
      <c r="T16" s="646"/>
      <c r="U16" s="678">
        <f>U17+U18</f>
        <v>944</v>
      </c>
      <c r="V16" s="678">
        <f>V17+V18</f>
        <v>819</v>
      </c>
      <c r="W16" s="644">
        <f>V16/B16</f>
        <v>0.10711483128433168</v>
      </c>
      <c r="X16" s="644">
        <f>AVERAGE(X18,X19,X20)</f>
        <v>0.83333333333333326</v>
      </c>
      <c r="Y16" s="645"/>
      <c r="Z16" s="645"/>
      <c r="AA16" s="679"/>
      <c r="AB16" s="680">
        <f>AB17+AB18</f>
        <v>44</v>
      </c>
      <c r="AC16" s="680">
        <f>AC17+AC18</f>
        <v>43</v>
      </c>
      <c r="AD16" s="679">
        <f>AVERAGE(AD17:AD19)</f>
        <v>0.875</v>
      </c>
      <c r="AE16" s="679">
        <f>AVERAGE(AE17:AE19)</f>
        <v>0.11800481714015057</v>
      </c>
      <c r="AF16" s="679"/>
      <c r="AG16" s="679"/>
      <c r="AH16" s="679"/>
      <c r="AI16" s="679"/>
      <c r="AJ16" s="679"/>
      <c r="AK16" s="646"/>
      <c r="AL16" s="646"/>
      <c r="AM16" s="677" t="s">
        <v>646</v>
      </c>
      <c r="AN16" s="678">
        <f>AC16+V16+L16+D16</f>
        <v>7451</v>
      </c>
      <c r="AO16" s="678">
        <f>AO17+AO18</f>
        <v>7626</v>
      </c>
      <c r="AP16" s="643">
        <f>AN16/AO16*100</f>
        <v>97.705218987673746</v>
      </c>
      <c r="AQ16" s="379">
        <f>AVERAGE(AP17:AP18)</f>
        <v>94.879709808121731</v>
      </c>
    </row>
    <row r="17" spans="1:43">
      <c r="A17" s="610" t="s">
        <v>969</v>
      </c>
      <c r="B17" s="685">
        <v>7633</v>
      </c>
      <c r="C17" s="611">
        <v>3373</v>
      </c>
      <c r="D17" s="510">
        <f>3606-225</f>
        <v>3381</v>
      </c>
      <c r="E17" s="511">
        <f>D17/B17*100%</f>
        <v>0.44294510677322152</v>
      </c>
      <c r="F17" s="620">
        <f>D17/C17*100%</f>
        <v>1.0023717758671806</v>
      </c>
      <c r="G17" s="621">
        <f>72570547694+2777145000+335796722</f>
        <v>75683489416</v>
      </c>
      <c r="H17" s="621"/>
      <c r="I17" s="511">
        <f>H17/G17*100%</f>
        <v>0</v>
      </c>
      <c r="J17" s="510"/>
      <c r="K17" s="659">
        <f>3367-119+31</f>
        <v>3279</v>
      </c>
      <c r="L17" s="686">
        <f>3321-119</f>
        <v>3202</v>
      </c>
      <c r="M17" s="511">
        <f t="shared" ref="M17:M18" si="16">L17/B17</f>
        <v>0.41949430106118168</v>
      </c>
      <c r="N17" s="620">
        <f t="shared" ref="N17:N18" si="17">L17/K17</f>
        <v>0.97651723086306796</v>
      </c>
      <c r="O17" s="621"/>
      <c r="P17" s="621"/>
      <c r="Q17" s="511"/>
      <c r="R17" s="620"/>
      <c r="S17" s="620"/>
      <c r="T17" s="610"/>
      <c r="U17" s="611">
        <v>941</v>
      </c>
      <c r="V17" s="611">
        <v>816</v>
      </c>
      <c r="W17" s="511">
        <f>V17/B17</f>
        <v>0.10690423162583519</v>
      </c>
      <c r="X17" s="620">
        <f>V17/U17</f>
        <v>0.86716259298618492</v>
      </c>
      <c r="Y17" s="621"/>
      <c r="Z17" s="621"/>
      <c r="AA17" s="511"/>
      <c r="AB17" s="512">
        <v>40</v>
      </c>
      <c r="AC17" s="512">
        <v>40</v>
      </c>
      <c r="AD17" s="511">
        <f t="shared" ref="AD17:AD18" si="18">AC17/AB17</f>
        <v>1</v>
      </c>
      <c r="AE17" s="511">
        <f>AC17/B17</f>
        <v>5.2404035110703521E-3</v>
      </c>
      <c r="AF17" s="511"/>
      <c r="AG17" s="511"/>
      <c r="AH17" s="511"/>
      <c r="AI17" s="620"/>
      <c r="AJ17" s="620"/>
      <c r="AK17" s="509"/>
      <c r="AL17" s="509"/>
      <c r="AM17" s="610" t="s">
        <v>969</v>
      </c>
      <c r="AN17" s="683">
        <f>AC17+V17+L17+D17-20</f>
        <v>7419</v>
      </c>
      <c r="AO17" s="637">
        <f>7633-20</f>
        <v>7613</v>
      </c>
      <c r="AP17" s="687">
        <f t="shared" ref="AP17:AP18" si="19">AN17/AO17*100</f>
        <v>97.451727308551156</v>
      </c>
    </row>
    <row r="18" spans="1:43">
      <c r="A18" s="610" t="s">
        <v>970</v>
      </c>
      <c r="B18" s="682">
        <v>13</v>
      </c>
      <c r="C18" s="611">
        <v>3</v>
      </c>
      <c r="D18" s="510">
        <v>3</v>
      </c>
      <c r="E18" s="511">
        <f>D18/B18*100%</f>
        <v>0.23076923076923078</v>
      </c>
      <c r="F18" s="620">
        <f>D18/C18*100%</f>
        <v>1</v>
      </c>
      <c r="G18" s="621">
        <v>10608263332</v>
      </c>
      <c r="H18" s="621"/>
      <c r="I18" s="511">
        <f>H18/G18*100%</f>
        <v>0</v>
      </c>
      <c r="J18" s="510"/>
      <c r="K18" s="659">
        <v>4</v>
      </c>
      <c r="L18" s="686">
        <v>3</v>
      </c>
      <c r="M18" s="511">
        <f t="shared" si="16"/>
        <v>0.23076923076923078</v>
      </c>
      <c r="N18" s="620">
        <f t="shared" si="17"/>
        <v>0.75</v>
      </c>
      <c r="O18" s="621"/>
      <c r="P18" s="621"/>
      <c r="Q18" s="511"/>
      <c r="R18" s="620"/>
      <c r="S18" s="620"/>
      <c r="T18" s="610"/>
      <c r="U18" s="611">
        <v>3</v>
      </c>
      <c r="V18" s="611">
        <v>3</v>
      </c>
      <c r="W18" s="511">
        <f>V18/B18</f>
        <v>0.23076923076923078</v>
      </c>
      <c r="X18" s="620">
        <f>V18/U18</f>
        <v>1</v>
      </c>
      <c r="Y18" s="621"/>
      <c r="Z18" s="621"/>
      <c r="AA18" s="511"/>
      <c r="AB18" s="512">
        <f>'[2]CUARTO TRIMESTRE'!D13</f>
        <v>4</v>
      </c>
      <c r="AC18" s="512">
        <f>'[2]CUARTO TRIMESTRE'!J13</f>
        <v>3</v>
      </c>
      <c r="AD18" s="511">
        <f t="shared" si="18"/>
        <v>0.75</v>
      </c>
      <c r="AE18" s="511">
        <f>AC18/B18</f>
        <v>0.23076923076923078</v>
      </c>
      <c r="AF18" s="511"/>
      <c r="AG18" s="511"/>
      <c r="AH18" s="511"/>
      <c r="AI18" s="620"/>
      <c r="AJ18" s="620"/>
      <c r="AK18" s="509"/>
      <c r="AL18" s="509"/>
      <c r="AM18" s="610" t="s">
        <v>970</v>
      </c>
      <c r="AN18" s="683">
        <f>AC18+V18+L18+D18</f>
        <v>12</v>
      </c>
      <c r="AO18" s="637">
        <v>13</v>
      </c>
      <c r="AP18" s="687">
        <f t="shared" si="19"/>
        <v>92.307692307692307</v>
      </c>
    </row>
    <row r="19" spans="1:43">
      <c r="A19" s="610"/>
      <c r="B19" s="610"/>
      <c r="C19" s="610"/>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0"/>
      <c r="AJ19" s="610"/>
      <c r="AK19" s="509"/>
      <c r="AL19" s="509"/>
      <c r="AM19" s="610"/>
      <c r="AN19" s="509"/>
      <c r="AO19" s="610"/>
      <c r="AP19" s="688"/>
    </row>
    <row r="20" spans="1:43">
      <c r="A20" s="677" t="s">
        <v>647</v>
      </c>
      <c r="B20" s="678">
        <f>B21+B22+B23+B24</f>
        <v>461</v>
      </c>
      <c r="C20" s="678">
        <f t="shared" ref="C20:D20" si="20">C21+C22+C23+C24</f>
        <v>115</v>
      </c>
      <c r="D20" s="678">
        <f t="shared" si="20"/>
        <v>109</v>
      </c>
      <c r="E20" s="644">
        <f>D20/B20*100%</f>
        <v>0.23644251626898047</v>
      </c>
      <c r="F20" s="644">
        <f>AVERAGE(F21,F22,F23,F24)</f>
        <v>0.85</v>
      </c>
      <c r="G20" s="645">
        <f>G21+G22+G23+G24</f>
        <v>4099902821</v>
      </c>
      <c r="H20" s="645"/>
      <c r="I20" s="679">
        <f>H20/G20*100%</f>
        <v>0</v>
      </c>
      <c r="J20" s="647"/>
      <c r="K20" s="678">
        <f>K21+K22+K23+K24</f>
        <v>116</v>
      </c>
      <c r="L20" s="678">
        <f>L21+L22+L23+L24</f>
        <v>114</v>
      </c>
      <c r="M20" s="644">
        <f>L20/B20</f>
        <v>0.24728850325379609</v>
      </c>
      <c r="N20" s="644">
        <f>L20/K20</f>
        <v>0.98275862068965514</v>
      </c>
      <c r="O20" s="645"/>
      <c r="P20" s="645"/>
      <c r="Q20" s="679"/>
      <c r="R20" s="679"/>
      <c r="S20" s="679"/>
      <c r="T20" s="646"/>
      <c r="U20" s="678">
        <f>U21+U22+U23+U24</f>
        <v>114</v>
      </c>
      <c r="V20" s="678">
        <f>V21+V22+V23+V24</f>
        <v>106</v>
      </c>
      <c r="W20" s="644">
        <f>V20/B20</f>
        <v>0.2299349240780911</v>
      </c>
      <c r="X20" s="644">
        <f>AVERAGE(X22,X23,X24)</f>
        <v>0.66666666666666663</v>
      </c>
      <c r="Y20" s="645"/>
      <c r="Z20" s="645"/>
      <c r="AA20" s="679"/>
      <c r="AB20" s="680">
        <f>AB21+AB22+AB23+AB24</f>
        <v>117</v>
      </c>
      <c r="AC20" s="680">
        <f>AC21+AC22+AC23+AC24</f>
        <v>117</v>
      </c>
      <c r="AD20" s="679">
        <f>AVERAGE(AD21:AD23)</f>
        <v>0.66666666666666663</v>
      </c>
      <c r="AE20" s="679">
        <f>AVERAGE(AE21:AE23)</f>
        <v>0.18954248366013071</v>
      </c>
      <c r="AF20" s="679"/>
      <c r="AG20" s="679"/>
      <c r="AH20" s="679"/>
      <c r="AI20" s="679"/>
      <c r="AJ20" s="679"/>
      <c r="AK20" s="646"/>
      <c r="AL20" s="646"/>
      <c r="AM20" s="677" t="s">
        <v>647</v>
      </c>
      <c r="AN20" s="680">
        <f>AN21+AN22+AN24+AN23</f>
        <v>446</v>
      </c>
      <c r="AO20" s="678">
        <f>AO21+AO22+AO23+AO24</f>
        <v>461</v>
      </c>
      <c r="AP20" s="643">
        <f>AN20/AO20*100</f>
        <v>96.746203904555315</v>
      </c>
      <c r="AQ20" s="379">
        <f>AVERAGE(AP21:AP24)</f>
        <v>91.250894518391306</v>
      </c>
    </row>
    <row r="21" spans="1:43">
      <c r="A21" s="610" t="s">
        <v>969</v>
      </c>
      <c r="B21" s="682">
        <v>1</v>
      </c>
      <c r="C21" s="623">
        <v>1</v>
      </c>
      <c r="D21" s="510">
        <v>1</v>
      </c>
      <c r="E21" s="511">
        <f>D21/B21*100%</f>
        <v>1</v>
      </c>
      <c r="F21" s="620">
        <f>D21/C21*100%</f>
        <v>1</v>
      </c>
      <c r="G21" s="623">
        <v>0</v>
      </c>
      <c r="H21" s="623"/>
      <c r="I21" s="511" t="e">
        <f>H21/G21*100%</f>
        <v>#DIV/0!</v>
      </c>
      <c r="J21" s="510"/>
      <c r="K21" s="372">
        <v>0</v>
      </c>
      <c r="L21" s="510">
        <v>0</v>
      </c>
      <c r="M21" s="511">
        <f t="shared" ref="M21:M24" si="21">L21/B21</f>
        <v>0</v>
      </c>
      <c r="N21" s="620" t="e">
        <f t="shared" ref="N21:N24" si="22">L21/K21</f>
        <v>#DIV/0!</v>
      </c>
      <c r="O21" s="623"/>
      <c r="P21" s="623"/>
      <c r="Q21" s="620"/>
      <c r="R21" s="620"/>
      <c r="S21" s="620"/>
      <c r="T21" s="610"/>
      <c r="U21" s="623">
        <v>0</v>
      </c>
      <c r="V21" s="510">
        <v>0</v>
      </c>
      <c r="W21" s="511">
        <f>V21/B21</f>
        <v>0</v>
      </c>
      <c r="X21" s="620" t="e">
        <f>V21/U21</f>
        <v>#DIV/0!</v>
      </c>
      <c r="Y21" s="623"/>
      <c r="Z21" s="623"/>
      <c r="AA21" s="620"/>
      <c r="AB21" s="512">
        <f>'[2]CUARTO TRIMESTRE'!D17</f>
        <v>0</v>
      </c>
      <c r="AC21" s="512">
        <f>'[2]CUARTO TRIMESTRE'!J17</f>
        <v>0</v>
      </c>
      <c r="AD21" s="511">
        <v>0</v>
      </c>
      <c r="AE21" s="511">
        <f>AC21/B21</f>
        <v>0</v>
      </c>
      <c r="AF21" s="620"/>
      <c r="AG21" s="620"/>
      <c r="AH21" s="620"/>
      <c r="AI21" s="620"/>
      <c r="AJ21" s="620"/>
      <c r="AK21" s="509"/>
      <c r="AL21" s="509"/>
      <c r="AM21" s="610" t="s">
        <v>969</v>
      </c>
      <c r="AN21" s="683">
        <f>AC21+V21+L21+D21</f>
        <v>1</v>
      </c>
      <c r="AO21" s="611">
        <v>1</v>
      </c>
      <c r="AP21" s="336">
        <f t="shared" ref="AP21:AP24" si="23">AN21/AO21*100</f>
        <v>100</v>
      </c>
    </row>
    <row r="22" spans="1:43">
      <c r="A22" s="610" t="s">
        <v>970</v>
      </c>
      <c r="B22" s="682">
        <v>15</v>
      </c>
      <c r="C22" s="623">
        <v>3</v>
      </c>
      <c r="D22" s="510">
        <v>3</v>
      </c>
      <c r="E22" s="511">
        <f>D22/B22*100%</f>
        <v>0.2</v>
      </c>
      <c r="F22" s="620">
        <f>D22/C22*100%</f>
        <v>1</v>
      </c>
      <c r="G22" s="621">
        <v>262068277</v>
      </c>
      <c r="H22" s="621"/>
      <c r="I22" s="511">
        <f>H22/G22*100%</f>
        <v>0</v>
      </c>
      <c r="J22" s="510"/>
      <c r="K22" s="372">
        <v>4</v>
      </c>
      <c r="L22" s="510">
        <v>4</v>
      </c>
      <c r="M22" s="511">
        <f t="shared" si="21"/>
        <v>0.26666666666666666</v>
      </c>
      <c r="N22" s="620">
        <f t="shared" si="22"/>
        <v>1</v>
      </c>
      <c r="O22" s="621"/>
      <c r="P22" s="621"/>
      <c r="Q22" s="511"/>
      <c r="R22" s="620"/>
      <c r="S22" s="620"/>
      <c r="T22" s="610"/>
      <c r="U22" s="623">
        <v>4</v>
      </c>
      <c r="V22" s="510">
        <v>4</v>
      </c>
      <c r="W22" s="511">
        <f>V22/B22</f>
        <v>0.26666666666666666</v>
      </c>
      <c r="X22" s="620">
        <f>V22/U22</f>
        <v>1</v>
      </c>
      <c r="Y22" s="621"/>
      <c r="Z22" s="621"/>
      <c r="AA22" s="511"/>
      <c r="AB22" s="512">
        <v>5</v>
      </c>
      <c r="AC22" s="512">
        <f>'[2]CUARTO TRIMESTRE'!J18</f>
        <v>5</v>
      </c>
      <c r="AD22" s="511">
        <f t="shared" ref="AD22:AD24" si="24">AC22/AB22</f>
        <v>1</v>
      </c>
      <c r="AE22" s="511">
        <f t="shared" ref="AE22:AE24" si="25">AC22/B22</f>
        <v>0.33333333333333331</v>
      </c>
      <c r="AF22" s="511"/>
      <c r="AG22" s="511"/>
      <c r="AH22" s="511"/>
      <c r="AI22" s="620"/>
      <c r="AJ22" s="620"/>
      <c r="AK22" s="509"/>
      <c r="AL22" s="509"/>
      <c r="AM22" s="610" t="s">
        <v>970</v>
      </c>
      <c r="AN22" s="683">
        <f t="shared" ref="AN22:AN24" si="26">AC22+V22+L22+D22</f>
        <v>16</v>
      </c>
      <c r="AO22" s="611">
        <v>15</v>
      </c>
      <c r="AP22" s="689">
        <f t="shared" si="23"/>
        <v>106.66666666666667</v>
      </c>
    </row>
    <row r="23" spans="1:43">
      <c r="A23" s="610" t="s">
        <v>971</v>
      </c>
      <c r="B23" s="682">
        <v>34</v>
      </c>
      <c r="C23" s="623">
        <v>10</v>
      </c>
      <c r="D23" s="510">
        <v>4</v>
      </c>
      <c r="E23" s="511">
        <f>D23/B23*100%</f>
        <v>0.11764705882352941</v>
      </c>
      <c r="F23" s="620">
        <f>D23/C23*100%</f>
        <v>0.4</v>
      </c>
      <c r="G23" s="621">
        <v>295834544</v>
      </c>
      <c r="H23" s="621"/>
      <c r="I23" s="511">
        <f>H23/G23*100%</f>
        <v>0</v>
      </c>
      <c r="J23" s="510"/>
      <c r="K23" s="372">
        <v>8</v>
      </c>
      <c r="L23" s="510">
        <v>8</v>
      </c>
      <c r="M23" s="511">
        <f t="shared" si="21"/>
        <v>0.23529411764705882</v>
      </c>
      <c r="N23" s="620">
        <f t="shared" si="22"/>
        <v>1</v>
      </c>
      <c r="O23" s="621"/>
      <c r="P23" s="621"/>
      <c r="Q23" s="511"/>
      <c r="R23" s="620"/>
      <c r="S23" s="620"/>
      <c r="T23" s="610"/>
      <c r="U23" s="623">
        <v>8</v>
      </c>
      <c r="V23" s="510">
        <v>0</v>
      </c>
      <c r="W23" s="511">
        <f>V23/B23</f>
        <v>0</v>
      </c>
      <c r="X23" s="620">
        <f>V23/U23</f>
        <v>0</v>
      </c>
      <c r="Y23" s="621"/>
      <c r="Z23" s="621"/>
      <c r="AA23" s="511"/>
      <c r="AB23" s="512">
        <v>8</v>
      </c>
      <c r="AC23" s="512">
        <v>8</v>
      </c>
      <c r="AD23" s="511">
        <f t="shared" si="24"/>
        <v>1</v>
      </c>
      <c r="AE23" s="511">
        <f t="shared" si="25"/>
        <v>0.23529411764705882</v>
      </c>
      <c r="AF23" s="511"/>
      <c r="AG23" s="511"/>
      <c r="AH23" s="511"/>
      <c r="AI23" s="620"/>
      <c r="AJ23" s="620"/>
      <c r="AK23" s="509"/>
      <c r="AL23" s="509"/>
      <c r="AM23" s="610" t="s">
        <v>971</v>
      </c>
      <c r="AN23" s="683">
        <f t="shared" si="26"/>
        <v>20</v>
      </c>
      <c r="AO23" s="611">
        <v>34</v>
      </c>
      <c r="AP23" s="689">
        <f t="shared" si="23"/>
        <v>58.82352941176471</v>
      </c>
    </row>
    <row r="24" spans="1:43">
      <c r="A24" s="610" t="s">
        <v>972</v>
      </c>
      <c r="B24" s="701">
        <v>411</v>
      </c>
      <c r="C24" s="702">
        <v>101</v>
      </c>
      <c r="D24" s="703">
        <v>101</v>
      </c>
      <c r="E24" s="511">
        <f>D24/B24*100%</f>
        <v>0.24574209245742093</v>
      </c>
      <c r="F24" s="620">
        <f>D24/C24*100%</f>
        <v>1</v>
      </c>
      <c r="G24" s="621">
        <v>3542000000</v>
      </c>
      <c r="H24" s="621"/>
      <c r="I24" s="511">
        <f>H24/G24*100%</f>
        <v>0</v>
      </c>
      <c r="J24" s="510"/>
      <c r="K24" s="372">
        <v>104</v>
      </c>
      <c r="L24" s="510">
        <v>102</v>
      </c>
      <c r="M24" s="511">
        <f t="shared" si="21"/>
        <v>0.24817518248175183</v>
      </c>
      <c r="N24" s="620">
        <f t="shared" si="22"/>
        <v>0.98076923076923073</v>
      </c>
      <c r="O24" s="621"/>
      <c r="P24" s="621"/>
      <c r="Q24" s="511"/>
      <c r="R24" s="620"/>
      <c r="S24" s="620"/>
      <c r="T24" s="610"/>
      <c r="U24" s="623">
        <v>102</v>
      </c>
      <c r="V24" s="510">
        <v>102</v>
      </c>
      <c r="W24" s="511">
        <f>V24/B24</f>
        <v>0.24817518248175183</v>
      </c>
      <c r="X24" s="620">
        <f>V24/U24</f>
        <v>1</v>
      </c>
      <c r="Y24" s="621"/>
      <c r="Z24" s="621"/>
      <c r="AA24" s="511"/>
      <c r="AB24" s="512">
        <f>'[2]CUARTO TRIMESTRE'!D20</f>
        <v>104</v>
      </c>
      <c r="AC24" s="512">
        <f>'[2]CUARTO TRIMESTRE'!J20</f>
        <v>104</v>
      </c>
      <c r="AD24" s="511">
        <f t="shared" si="24"/>
        <v>1</v>
      </c>
      <c r="AE24" s="511">
        <f t="shared" si="25"/>
        <v>0.25304136253041365</v>
      </c>
      <c r="AF24" s="511"/>
      <c r="AG24" s="511"/>
      <c r="AH24" s="511"/>
      <c r="AI24" s="620"/>
      <c r="AJ24" s="620"/>
      <c r="AK24" s="509"/>
      <c r="AL24" s="509"/>
      <c r="AM24" s="610" t="s">
        <v>972</v>
      </c>
      <c r="AN24" s="683">
        <f t="shared" si="26"/>
        <v>409</v>
      </c>
      <c r="AO24" s="704">
        <v>411</v>
      </c>
      <c r="AP24" s="689">
        <f t="shared" si="23"/>
        <v>99.513381995133827</v>
      </c>
    </row>
    <row r="25" spans="1:43">
      <c r="A25" s="610"/>
      <c r="B25" s="610"/>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509"/>
      <c r="AL25" s="509"/>
      <c r="AM25" s="610"/>
      <c r="AN25" s="509"/>
      <c r="AO25" s="610"/>
      <c r="AP25" s="336"/>
    </row>
    <row r="26" spans="1:43">
      <c r="A26" s="677" t="s">
        <v>648</v>
      </c>
      <c r="B26" s="678">
        <f>B27+B28</f>
        <v>172</v>
      </c>
      <c r="C26" s="678">
        <f t="shared" ref="C26:D26" si="27">C27+C28</f>
        <v>41</v>
      </c>
      <c r="D26" s="678">
        <f t="shared" si="27"/>
        <v>41</v>
      </c>
      <c r="E26" s="644">
        <f>D26/B26*100%</f>
        <v>0.23837209302325582</v>
      </c>
      <c r="F26" s="644">
        <f>AVERAGE(F27,F28)</f>
        <v>1</v>
      </c>
      <c r="G26" s="645">
        <f>G27+G28</f>
        <v>425717734</v>
      </c>
      <c r="H26" s="645"/>
      <c r="I26" s="679">
        <f>H26/G26*100%</f>
        <v>0</v>
      </c>
      <c r="J26" s="647"/>
      <c r="K26" s="678">
        <f>K27+K28</f>
        <v>45</v>
      </c>
      <c r="L26" s="678">
        <f>L27+L28</f>
        <v>45</v>
      </c>
      <c r="M26" s="644">
        <f>L26/B26</f>
        <v>0.26162790697674421</v>
      </c>
      <c r="N26" s="644">
        <f>L26/K26</f>
        <v>1</v>
      </c>
      <c r="O26" s="645"/>
      <c r="P26" s="645"/>
      <c r="Q26" s="679"/>
      <c r="R26" s="679"/>
      <c r="S26" s="679"/>
      <c r="T26" s="646"/>
      <c r="U26" s="678">
        <f>U27+U28</f>
        <v>46</v>
      </c>
      <c r="V26" s="678">
        <f>V27+V28</f>
        <v>46</v>
      </c>
      <c r="W26" s="644">
        <f>V26/B26</f>
        <v>0.26744186046511625</v>
      </c>
      <c r="X26" s="644">
        <f>AVERAGE(X28,X29,X30)</f>
        <v>0.75</v>
      </c>
      <c r="Y26" s="645"/>
      <c r="Z26" s="645"/>
      <c r="AA26" s="679"/>
      <c r="AB26" s="680">
        <f>AB27+AB28</f>
        <v>40</v>
      </c>
      <c r="AC26" s="680">
        <f>AC27+AC28</f>
        <v>40</v>
      </c>
      <c r="AD26" s="679">
        <f>AVERAGE(AD27:AD29)</f>
        <v>1</v>
      </c>
      <c r="AE26" s="679">
        <f>AVERAGE(AE27:AE29)</f>
        <v>0.23315639036341362</v>
      </c>
      <c r="AF26" s="679"/>
      <c r="AG26" s="679"/>
      <c r="AH26" s="679"/>
      <c r="AI26" s="679"/>
      <c r="AJ26" s="679"/>
      <c r="AK26" s="646"/>
      <c r="AL26" s="646"/>
      <c r="AM26" s="677" t="s">
        <v>648</v>
      </c>
      <c r="AN26" s="680">
        <f>AN27+AN28</f>
        <v>172</v>
      </c>
      <c r="AO26" s="678">
        <f>AO27+AO28</f>
        <v>172</v>
      </c>
      <c r="AP26" s="643">
        <f>AN26/AO26*100</f>
        <v>100</v>
      </c>
      <c r="AQ26" s="379">
        <f>AVERAGE(AP27:AP28)</f>
        <v>100</v>
      </c>
    </row>
    <row r="27" spans="1:43">
      <c r="A27" s="610" t="s">
        <v>969</v>
      </c>
      <c r="B27" s="682">
        <v>79</v>
      </c>
      <c r="C27" s="611">
        <v>20</v>
      </c>
      <c r="D27" s="510">
        <v>20</v>
      </c>
      <c r="E27" s="511">
        <f>D27/B27*100%</f>
        <v>0.25316455696202533</v>
      </c>
      <c r="F27" s="620">
        <f>D27/C27*100%</f>
        <v>1</v>
      </c>
      <c r="G27" s="621">
        <v>184000000</v>
      </c>
      <c r="H27" s="621"/>
      <c r="I27" s="511">
        <f>H27/G27*100%</f>
        <v>0</v>
      </c>
      <c r="J27" s="510"/>
      <c r="K27" s="372">
        <v>20</v>
      </c>
      <c r="L27" s="372">
        <v>20</v>
      </c>
      <c r="M27" s="511">
        <f t="shared" ref="M27:M28" si="28">L27/B27</f>
        <v>0.25316455696202533</v>
      </c>
      <c r="N27" s="620">
        <f t="shared" ref="N27:N28" si="29">L27/K27</f>
        <v>1</v>
      </c>
      <c r="O27" s="621"/>
      <c r="P27" s="621"/>
      <c r="Q27" s="620"/>
      <c r="R27" s="620"/>
      <c r="S27" s="620"/>
      <c r="T27" s="610"/>
      <c r="U27" s="611">
        <v>20</v>
      </c>
      <c r="V27" s="510">
        <v>20</v>
      </c>
      <c r="W27" s="511">
        <f>V27/B27</f>
        <v>0.25316455696202533</v>
      </c>
      <c r="X27" s="620">
        <f>V27/U27</f>
        <v>1</v>
      </c>
      <c r="Y27" s="621"/>
      <c r="Z27" s="621"/>
      <c r="AA27" s="620"/>
      <c r="AB27" s="512">
        <f>'[2]CUARTO TRIMESTRE'!D23</f>
        <v>19</v>
      </c>
      <c r="AC27" s="512">
        <f>'[2]CUARTO TRIMESTRE'!J23</f>
        <v>19</v>
      </c>
      <c r="AD27" s="511">
        <f t="shared" ref="AD27:AD28" si="30">AC27/AB27</f>
        <v>1</v>
      </c>
      <c r="AE27" s="511">
        <f t="shared" ref="AE27:AE28" si="31">AC27/B27</f>
        <v>0.24050632911392406</v>
      </c>
      <c r="AF27" s="620"/>
      <c r="AG27" s="620"/>
      <c r="AH27" s="620"/>
      <c r="AI27" s="620"/>
      <c r="AJ27" s="620"/>
      <c r="AK27" s="509"/>
      <c r="AL27" s="509"/>
      <c r="AM27" s="610" t="s">
        <v>969</v>
      </c>
      <c r="AN27" s="683">
        <f t="shared" ref="AN27:AN28" si="32">AC27+V27+L27+D27</f>
        <v>79</v>
      </c>
      <c r="AO27" s="611">
        <v>79</v>
      </c>
      <c r="AP27" s="689">
        <f t="shared" ref="AP27:AP28" si="33">AN27/AO27*100</f>
        <v>100</v>
      </c>
    </row>
    <row r="28" spans="1:43">
      <c r="A28" s="610" t="s">
        <v>970</v>
      </c>
      <c r="B28" s="682">
        <v>93</v>
      </c>
      <c r="C28" s="611">
        <v>21</v>
      </c>
      <c r="D28" s="510">
        <v>21</v>
      </c>
      <c r="E28" s="511">
        <f>D28/B28*100%</f>
        <v>0.22580645161290322</v>
      </c>
      <c r="F28" s="620">
        <f>D28/C28*100%</f>
        <v>1</v>
      </c>
      <c r="G28" s="621">
        <v>241717734</v>
      </c>
      <c r="H28" s="621"/>
      <c r="I28" s="511">
        <f>H28/G28*100%</f>
        <v>0</v>
      </c>
      <c r="J28" s="510"/>
      <c r="K28" s="372">
        <v>25</v>
      </c>
      <c r="L28" s="372">
        <v>25</v>
      </c>
      <c r="M28" s="511">
        <f t="shared" si="28"/>
        <v>0.26881720430107525</v>
      </c>
      <c r="N28" s="620">
        <f t="shared" si="29"/>
        <v>1</v>
      </c>
      <c r="O28" s="621"/>
      <c r="P28" s="621"/>
      <c r="Q28" s="511"/>
      <c r="R28" s="620"/>
      <c r="S28" s="620"/>
      <c r="T28" s="610"/>
      <c r="U28" s="611">
        <v>26</v>
      </c>
      <c r="V28" s="510">
        <v>26</v>
      </c>
      <c r="W28" s="511">
        <f>V28/B28</f>
        <v>0.27956989247311825</v>
      </c>
      <c r="X28" s="620">
        <f>V28/U28</f>
        <v>1</v>
      </c>
      <c r="Y28" s="621"/>
      <c r="Z28" s="621"/>
      <c r="AA28" s="511"/>
      <c r="AB28" s="512">
        <f>'[2]CUARTO TRIMESTRE'!D24</f>
        <v>21</v>
      </c>
      <c r="AC28" s="512">
        <f>'[2]CUARTO TRIMESTRE'!J24</f>
        <v>21</v>
      </c>
      <c r="AD28" s="511">
        <f t="shared" si="30"/>
        <v>1</v>
      </c>
      <c r="AE28" s="511">
        <f t="shared" si="31"/>
        <v>0.22580645161290322</v>
      </c>
      <c r="AF28" s="511"/>
      <c r="AG28" s="511"/>
      <c r="AH28" s="511"/>
      <c r="AI28" s="620"/>
      <c r="AJ28" s="620"/>
      <c r="AK28" s="509"/>
      <c r="AL28" s="509"/>
      <c r="AM28" s="610" t="s">
        <v>970</v>
      </c>
      <c r="AN28" s="683">
        <f t="shared" si="32"/>
        <v>93</v>
      </c>
      <c r="AO28" s="611">
        <v>93</v>
      </c>
      <c r="AP28" s="689">
        <f t="shared" si="33"/>
        <v>100</v>
      </c>
    </row>
    <row r="29" spans="1:43">
      <c r="A29" s="610"/>
      <c r="B29" s="610"/>
      <c r="C29" s="610"/>
      <c r="D29" s="610"/>
      <c r="E29" s="610"/>
      <c r="F29" s="610"/>
      <c r="G29" s="610"/>
      <c r="H29" s="610"/>
      <c r="I29" s="610"/>
      <c r="J29" s="610"/>
      <c r="K29" s="610"/>
      <c r="L29" s="610"/>
      <c r="M29" s="610"/>
      <c r="N29" s="610"/>
      <c r="O29" s="610"/>
      <c r="P29" s="610"/>
      <c r="Q29" s="610"/>
      <c r="R29" s="610"/>
      <c r="S29" s="610"/>
      <c r="T29" s="610"/>
      <c r="U29" s="610"/>
      <c r="V29" s="610"/>
      <c r="W29" s="610"/>
      <c r="X29" s="610"/>
      <c r="Y29" s="610"/>
      <c r="Z29" s="610"/>
      <c r="AA29" s="610"/>
      <c r="AB29" s="610"/>
      <c r="AC29" s="610"/>
      <c r="AD29" s="610"/>
      <c r="AE29" s="610"/>
      <c r="AF29" s="610"/>
      <c r="AG29" s="610"/>
      <c r="AH29" s="610"/>
      <c r="AI29" s="610"/>
      <c r="AJ29" s="610"/>
      <c r="AK29" s="509"/>
      <c r="AL29" s="509"/>
      <c r="AM29" s="610"/>
      <c r="AN29" s="509"/>
      <c r="AO29" s="610"/>
      <c r="AP29" s="336"/>
    </row>
    <row r="30" spans="1:43">
      <c r="A30" s="677" t="s">
        <v>649</v>
      </c>
      <c r="B30" s="678">
        <f>B31+B32</f>
        <v>10</v>
      </c>
      <c r="C30" s="678">
        <f t="shared" ref="C30:D30" si="34">C31+C32</f>
        <v>1</v>
      </c>
      <c r="D30" s="678">
        <f t="shared" si="34"/>
        <v>1</v>
      </c>
      <c r="E30" s="644">
        <f>D30/B30*100%</f>
        <v>0.1</v>
      </c>
      <c r="F30" s="644">
        <f>AVERAGE(F31,F32)</f>
        <v>0.5</v>
      </c>
      <c r="G30" s="645">
        <f>G31+G32</f>
        <v>252052566</v>
      </c>
      <c r="H30" s="645"/>
      <c r="I30" s="679">
        <f>H30/G30*100%</f>
        <v>0</v>
      </c>
      <c r="J30" s="647"/>
      <c r="K30" s="678">
        <f>K31+K32</f>
        <v>2</v>
      </c>
      <c r="L30" s="678">
        <f>L31+L32</f>
        <v>2</v>
      </c>
      <c r="M30" s="644">
        <f>L30/B30</f>
        <v>0.2</v>
      </c>
      <c r="N30" s="644">
        <f>L30/K30</f>
        <v>1</v>
      </c>
      <c r="O30" s="645"/>
      <c r="P30" s="645"/>
      <c r="Q30" s="679"/>
      <c r="R30" s="679"/>
      <c r="S30" s="679"/>
      <c r="T30" s="646"/>
      <c r="U30" s="678">
        <f>U31+U32</f>
        <v>3</v>
      </c>
      <c r="V30" s="678">
        <f>V31+V32</f>
        <v>3</v>
      </c>
      <c r="W30" s="644">
        <f>V30/B30</f>
        <v>0.3</v>
      </c>
      <c r="X30" s="644">
        <f>AVERAGE(X32,X31)</f>
        <v>0.5</v>
      </c>
      <c r="Y30" s="645"/>
      <c r="Z30" s="645"/>
      <c r="AA30" s="679"/>
      <c r="AB30" s="680">
        <f>AB31+AB32</f>
        <v>4</v>
      </c>
      <c r="AC30" s="680">
        <f>AC31+AC32</f>
        <v>3</v>
      </c>
      <c r="AD30" s="679">
        <f>AVERAGE(AD31:AD33)</f>
        <v>0.5</v>
      </c>
      <c r="AE30" s="679">
        <f>AVERAGE(AE31:AE33)</f>
        <v>0.1875</v>
      </c>
      <c r="AF30" s="679"/>
      <c r="AG30" s="679"/>
      <c r="AH30" s="679"/>
      <c r="AI30" s="679"/>
      <c r="AJ30" s="679"/>
      <c r="AK30" s="646"/>
      <c r="AL30" s="646"/>
      <c r="AM30" s="677" t="s">
        <v>649</v>
      </c>
      <c r="AN30" s="680">
        <f>AN31+AN32</f>
        <v>9</v>
      </c>
      <c r="AO30" s="678">
        <f>AO31+AO32</f>
        <v>10</v>
      </c>
      <c r="AP30" s="643">
        <f>AN30/AO30*100</f>
        <v>90</v>
      </c>
      <c r="AQ30" s="379">
        <f>AVERAGE(AP31:AP32)</f>
        <v>75</v>
      </c>
    </row>
    <row r="31" spans="1:43">
      <c r="A31" s="610" t="s">
        <v>969</v>
      </c>
      <c r="B31" s="682">
        <v>8</v>
      </c>
      <c r="C31" s="611">
        <v>1</v>
      </c>
      <c r="D31" s="510">
        <v>1</v>
      </c>
      <c r="E31" s="511">
        <f>D31/B31*100%</f>
        <v>0.125</v>
      </c>
      <c r="F31" s="620">
        <f>D31/C31*100%</f>
        <v>1</v>
      </c>
      <c r="G31" s="621">
        <v>252052566</v>
      </c>
      <c r="H31" s="620"/>
      <c r="I31" s="511">
        <f>H31/G31*100%</f>
        <v>0</v>
      </c>
      <c r="J31" s="510"/>
      <c r="K31" s="372">
        <v>1</v>
      </c>
      <c r="L31" s="372">
        <v>1</v>
      </c>
      <c r="M31" s="511">
        <f t="shared" ref="M31:M32" si="35">L31/B31</f>
        <v>0.125</v>
      </c>
      <c r="N31" s="620">
        <f t="shared" ref="N31:N32" si="36">L31/K31</f>
        <v>1</v>
      </c>
      <c r="O31" s="621"/>
      <c r="P31" s="620"/>
      <c r="Q31" s="620"/>
      <c r="R31" s="620"/>
      <c r="S31" s="620"/>
      <c r="T31" s="610"/>
      <c r="U31" s="611">
        <v>3</v>
      </c>
      <c r="V31" s="510">
        <v>3</v>
      </c>
      <c r="W31" s="511">
        <f>V31/B31</f>
        <v>0.375</v>
      </c>
      <c r="X31" s="620">
        <f>V31/U31</f>
        <v>1</v>
      </c>
      <c r="Y31" s="621"/>
      <c r="Z31" s="620"/>
      <c r="AA31" s="620"/>
      <c r="AB31" s="623">
        <f>'[2]CUARTO TRIMESTRE'!D27</f>
        <v>3</v>
      </c>
      <c r="AC31" s="623">
        <f>'[2]CUARTO TRIMESTRE'!J27</f>
        <v>3</v>
      </c>
      <c r="AD31" s="511">
        <f t="shared" ref="AD31:AD32" si="37">AC31/AB31</f>
        <v>1</v>
      </c>
      <c r="AE31" s="511">
        <f t="shared" ref="AE31:AE32" si="38">AC31/B31</f>
        <v>0.375</v>
      </c>
      <c r="AF31" s="620"/>
      <c r="AG31" s="620"/>
      <c r="AH31" s="620"/>
      <c r="AI31" s="620"/>
      <c r="AJ31" s="620"/>
      <c r="AK31" s="509"/>
      <c r="AL31" s="509"/>
      <c r="AM31" s="610" t="s">
        <v>969</v>
      </c>
      <c r="AN31" s="683">
        <f t="shared" ref="AN31:AN32" si="39">AC31+V31+L31+D31</f>
        <v>8</v>
      </c>
      <c r="AO31" s="611">
        <v>8</v>
      </c>
      <c r="AP31" s="689">
        <f t="shared" ref="AP31:AP35" si="40">AN31/AO31*100</f>
        <v>100</v>
      </c>
    </row>
    <row r="32" spans="1:43">
      <c r="A32" s="610" t="s">
        <v>970</v>
      </c>
      <c r="B32" s="682">
        <v>2</v>
      </c>
      <c r="C32" s="611">
        <v>0</v>
      </c>
      <c r="D32" s="510">
        <v>0</v>
      </c>
      <c r="E32" s="511">
        <f>D32/B32*100%</f>
        <v>0</v>
      </c>
      <c r="F32" s="620">
        <v>0</v>
      </c>
      <c r="G32" s="621">
        <v>0</v>
      </c>
      <c r="H32" s="621"/>
      <c r="I32" s="511" t="e">
        <f>H32/G32*100%</f>
        <v>#DIV/0!</v>
      </c>
      <c r="J32" s="510"/>
      <c r="K32" s="372">
        <v>1</v>
      </c>
      <c r="L32" s="372">
        <v>1</v>
      </c>
      <c r="M32" s="511">
        <f t="shared" si="35"/>
        <v>0.5</v>
      </c>
      <c r="N32" s="620">
        <f t="shared" si="36"/>
        <v>1</v>
      </c>
      <c r="O32" s="621"/>
      <c r="P32" s="621"/>
      <c r="Q32" s="511"/>
      <c r="R32" s="620"/>
      <c r="S32" s="620"/>
      <c r="T32" s="610"/>
      <c r="U32" s="611">
        <v>0</v>
      </c>
      <c r="V32" s="611">
        <v>0</v>
      </c>
      <c r="W32" s="511">
        <f>V32/B32</f>
        <v>0</v>
      </c>
      <c r="X32" s="620">
        <v>0</v>
      </c>
      <c r="Y32" s="621"/>
      <c r="Z32" s="621"/>
      <c r="AA32" s="511"/>
      <c r="AB32" s="623">
        <v>1</v>
      </c>
      <c r="AC32" s="623">
        <f>'[2]CUARTO TRIMESTRE'!J28</f>
        <v>0</v>
      </c>
      <c r="AD32" s="511">
        <f t="shared" si="37"/>
        <v>0</v>
      </c>
      <c r="AE32" s="511">
        <f t="shared" si="38"/>
        <v>0</v>
      </c>
      <c r="AF32" s="511"/>
      <c r="AG32" s="511"/>
      <c r="AH32" s="511"/>
      <c r="AI32" s="620"/>
      <c r="AJ32" s="620"/>
      <c r="AK32" s="509"/>
      <c r="AL32" s="509"/>
      <c r="AM32" s="610" t="s">
        <v>970</v>
      </c>
      <c r="AN32" s="683">
        <f t="shared" si="39"/>
        <v>1</v>
      </c>
      <c r="AO32" s="611">
        <v>2</v>
      </c>
      <c r="AP32" s="689">
        <f t="shared" si="40"/>
        <v>50</v>
      </c>
    </row>
    <row r="33" spans="1:43">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509"/>
      <c r="AL33" s="509"/>
      <c r="AM33" s="610"/>
      <c r="AN33" s="509"/>
      <c r="AO33" s="610"/>
      <c r="AP33" s="684"/>
    </row>
    <row r="34" spans="1:43">
      <c r="A34" s="677" t="s">
        <v>650</v>
      </c>
      <c r="B34" s="678">
        <v>57</v>
      </c>
      <c r="C34" s="678">
        <v>4</v>
      </c>
      <c r="D34" s="678">
        <v>4</v>
      </c>
      <c r="E34" s="644">
        <f>D34/B34*100%</f>
        <v>7.0175438596491224E-2</v>
      </c>
      <c r="F34" s="644">
        <f>AVERAGE(F35)</f>
        <v>1</v>
      </c>
      <c r="G34" s="645">
        <f>G35</f>
        <v>392400000</v>
      </c>
      <c r="H34" s="645"/>
      <c r="I34" s="679">
        <f>H34/G34*100%</f>
        <v>0</v>
      </c>
      <c r="J34" s="647"/>
      <c r="K34" s="678">
        <f>K35</f>
        <v>15</v>
      </c>
      <c r="L34" s="678">
        <f>L35</f>
        <v>3</v>
      </c>
      <c r="M34" s="644">
        <f>M35</f>
        <v>5.2631578947368418E-2</v>
      </c>
      <c r="N34" s="644">
        <f>N35</f>
        <v>0.2</v>
      </c>
      <c r="O34" s="645"/>
      <c r="P34" s="645"/>
      <c r="Q34" s="644"/>
      <c r="R34" s="644"/>
      <c r="S34" s="644"/>
      <c r="T34" s="646"/>
      <c r="U34" s="678">
        <f>U35</f>
        <v>14</v>
      </c>
      <c r="V34" s="678">
        <f>V35</f>
        <v>14</v>
      </c>
      <c r="W34" s="644">
        <f>V34/B34</f>
        <v>0.24561403508771928</v>
      </c>
      <c r="X34" s="644">
        <f>V34/U34</f>
        <v>1</v>
      </c>
      <c r="Y34" s="645"/>
      <c r="Z34" s="645"/>
      <c r="AA34" s="644"/>
      <c r="AB34" s="648">
        <f>AB35</f>
        <v>24</v>
      </c>
      <c r="AC34" s="648">
        <f>AC35</f>
        <v>4</v>
      </c>
      <c r="AD34" s="679">
        <f>AVERAGE(AD35)</f>
        <v>0.16666666666666666</v>
      </c>
      <c r="AE34" s="679">
        <f>AVERAGE(AE35)</f>
        <v>7.0175438596491224E-2</v>
      </c>
      <c r="AF34" s="644"/>
      <c r="AG34" s="644"/>
      <c r="AH34" s="644"/>
      <c r="AI34" s="644"/>
      <c r="AJ34" s="644"/>
      <c r="AK34" s="646"/>
      <c r="AL34" s="646"/>
      <c r="AM34" s="677" t="s">
        <v>650</v>
      </c>
      <c r="AN34" s="680">
        <f>AN35</f>
        <v>25</v>
      </c>
      <c r="AO34" s="678">
        <v>57</v>
      </c>
      <c r="AP34" s="643">
        <f t="shared" si="40"/>
        <v>43.859649122807014</v>
      </c>
      <c r="AQ34">
        <v>44</v>
      </c>
    </row>
    <row r="35" spans="1:43">
      <c r="A35" s="610" t="s">
        <v>969</v>
      </c>
      <c r="B35" s="682">
        <v>57</v>
      </c>
      <c r="C35" s="611">
        <v>4</v>
      </c>
      <c r="D35" s="510">
        <v>4</v>
      </c>
      <c r="E35" s="511">
        <f>D35/B35*100%</f>
        <v>7.0175438596491224E-2</v>
      </c>
      <c r="F35" s="620">
        <f>D35/C35*100%</f>
        <v>1</v>
      </c>
      <c r="G35" s="621">
        <v>392400000</v>
      </c>
      <c r="H35" s="621"/>
      <c r="I35" s="511">
        <f>H35/G35*100%</f>
        <v>0</v>
      </c>
      <c r="J35" s="510"/>
      <c r="K35" s="611">
        <v>15</v>
      </c>
      <c r="L35" s="611">
        <v>3</v>
      </c>
      <c r="M35" s="511">
        <f t="shared" ref="M35" si="41">L35/B35</f>
        <v>5.2631578947368418E-2</v>
      </c>
      <c r="N35" s="620">
        <f t="shared" ref="N35" si="42">L35/K35</f>
        <v>0.2</v>
      </c>
      <c r="O35" s="621"/>
      <c r="P35" s="621"/>
      <c r="Q35" s="511"/>
      <c r="R35" s="620"/>
      <c r="S35" s="620"/>
      <c r="T35" s="610"/>
      <c r="U35" s="611">
        <v>14</v>
      </c>
      <c r="V35" s="611">
        <v>14</v>
      </c>
      <c r="W35" s="511">
        <f>V35/B35</f>
        <v>0.24561403508771928</v>
      </c>
      <c r="X35" s="620">
        <f>V35/U35</f>
        <v>1</v>
      </c>
      <c r="Y35" s="621"/>
      <c r="Z35" s="621"/>
      <c r="AA35" s="511"/>
      <c r="AB35" s="512">
        <v>24</v>
      </c>
      <c r="AC35" s="623">
        <f>'[2]CUARTO TRIMESTRE'!J32</f>
        <v>4</v>
      </c>
      <c r="AD35" s="511">
        <f t="shared" ref="AD35" si="43">AC35/AB35</f>
        <v>0.16666666666666666</v>
      </c>
      <c r="AE35" s="511">
        <f t="shared" ref="AE35" si="44">AC35/B35</f>
        <v>7.0175438596491224E-2</v>
      </c>
      <c r="AF35" s="511"/>
      <c r="AG35" s="511"/>
      <c r="AH35" s="511"/>
      <c r="AI35" s="620"/>
      <c r="AJ35" s="620"/>
      <c r="AK35" s="509"/>
      <c r="AL35" s="509"/>
      <c r="AM35" s="610" t="s">
        <v>969</v>
      </c>
      <c r="AN35" s="683">
        <f t="shared" ref="AN35" si="45">AC35+V35+L35+D35</f>
        <v>25</v>
      </c>
      <c r="AO35" s="611">
        <v>57</v>
      </c>
      <c r="AP35" s="689">
        <f t="shared" si="40"/>
        <v>43.859649122807014</v>
      </c>
    </row>
    <row r="36" spans="1:43">
      <c r="A36" s="610"/>
      <c r="B36" s="610"/>
      <c r="C36" s="610"/>
      <c r="D36" s="610"/>
      <c r="E36" s="610"/>
      <c r="F36" s="511"/>
      <c r="G36" s="511"/>
      <c r="H36" s="511"/>
      <c r="I36" s="511"/>
      <c r="J36" s="610"/>
      <c r="K36" s="610"/>
      <c r="L36" s="610"/>
      <c r="M36" s="610"/>
      <c r="N36" s="511"/>
      <c r="O36" s="511"/>
      <c r="P36" s="511"/>
      <c r="Q36" s="511"/>
      <c r="R36" s="610"/>
      <c r="S36" s="610"/>
      <c r="T36" s="610"/>
      <c r="U36" s="610"/>
      <c r="V36" s="610"/>
      <c r="W36" s="610"/>
      <c r="X36" s="511"/>
      <c r="Y36" s="511"/>
      <c r="Z36" s="511"/>
      <c r="AA36" s="511"/>
      <c r="AB36" s="511"/>
      <c r="AC36" s="511"/>
      <c r="AD36" s="511"/>
      <c r="AE36" s="511"/>
      <c r="AF36" s="511"/>
      <c r="AG36" s="511"/>
      <c r="AH36" s="511"/>
      <c r="AI36" s="610"/>
      <c r="AJ36" s="610"/>
      <c r="AK36" s="509"/>
      <c r="AL36" s="509"/>
      <c r="AM36" s="610"/>
      <c r="AN36" s="509"/>
      <c r="AO36" s="610"/>
      <c r="AP36" s="684"/>
    </row>
    <row r="37" spans="1:43">
      <c r="A37" s="677" t="s">
        <v>651</v>
      </c>
      <c r="B37" s="678">
        <f>B38+B39+B40</f>
        <v>105</v>
      </c>
      <c r="C37" s="678">
        <f>C38+C39+C40</f>
        <v>25</v>
      </c>
      <c r="D37" s="678">
        <f>D38+D39+D40</f>
        <v>27</v>
      </c>
      <c r="E37" s="644">
        <f>D37/B37*100%</f>
        <v>0.25714285714285712</v>
      </c>
      <c r="F37" s="644">
        <f>AVERAGE(F38,F39,F40)</f>
        <v>1.1319444444444444</v>
      </c>
      <c r="G37" s="645">
        <f>G38</f>
        <v>2272664045</v>
      </c>
      <c r="H37" s="645"/>
      <c r="I37" s="679"/>
      <c r="J37" s="647"/>
      <c r="K37" s="678">
        <f>K38+K39+K40</f>
        <v>28</v>
      </c>
      <c r="L37" s="678">
        <f>L38+L39+L40</f>
        <v>28</v>
      </c>
      <c r="M37" s="644">
        <f>L37/B37</f>
        <v>0.26666666666666666</v>
      </c>
      <c r="N37" s="644">
        <f>L37/K37</f>
        <v>1</v>
      </c>
      <c r="O37" s="645"/>
      <c r="P37" s="645"/>
      <c r="Q37" s="679"/>
      <c r="R37" s="679"/>
      <c r="S37" s="679"/>
      <c r="T37" s="646"/>
      <c r="U37" s="678">
        <f>U38+U39+U40</f>
        <v>26</v>
      </c>
      <c r="V37" s="678">
        <f>V38+V39+V40</f>
        <v>29</v>
      </c>
      <c r="W37" s="644">
        <f>V37/B37</f>
        <v>0.27619047619047621</v>
      </c>
      <c r="X37" s="644">
        <f>AVERAGE(X40,X39,X38)</f>
        <v>1.2430555555555556</v>
      </c>
      <c r="Y37" s="645"/>
      <c r="Z37" s="645"/>
      <c r="AA37" s="679"/>
      <c r="AB37" s="680">
        <f>AB40+AB39+AB38</f>
        <v>26</v>
      </c>
      <c r="AC37" s="680">
        <f>AC40+AC39+AC38</f>
        <v>22</v>
      </c>
      <c r="AD37" s="679">
        <f>AVERAGE(AD38:AD40)</f>
        <v>0.91666666666666663</v>
      </c>
      <c r="AE37" s="679">
        <f>AVERAGE(AE38:AE40)</f>
        <v>0.23042735042735041</v>
      </c>
      <c r="AF37" s="679"/>
      <c r="AG37" s="679"/>
      <c r="AH37" s="679"/>
      <c r="AI37" s="679"/>
      <c r="AJ37" s="679"/>
      <c r="AK37" s="646"/>
      <c r="AL37" s="646"/>
      <c r="AM37" s="677" t="s">
        <v>651</v>
      </c>
      <c r="AN37" s="680">
        <f>AN38+AN39+AN40</f>
        <v>106</v>
      </c>
      <c r="AO37" s="678">
        <f>AO38+AO39+AO40</f>
        <v>105</v>
      </c>
      <c r="AP37" s="643">
        <f>AN37/AO37*100</f>
        <v>100.95238095238095</v>
      </c>
      <c r="AQ37" s="379">
        <f>AVERAGE(AP38:AP40)</f>
        <v>105.64102564102564</v>
      </c>
    </row>
    <row r="38" spans="1:43">
      <c r="A38" s="610" t="s">
        <v>969</v>
      </c>
      <c r="B38" s="682">
        <v>25</v>
      </c>
      <c r="C38" s="611">
        <v>6</v>
      </c>
      <c r="D38" s="510">
        <v>6</v>
      </c>
      <c r="E38" s="511">
        <f>D38/B38*100%</f>
        <v>0.24</v>
      </c>
      <c r="F38" s="511">
        <f>D38/C38*100%</f>
        <v>1</v>
      </c>
      <c r="G38" s="907">
        <v>2272664045</v>
      </c>
      <c r="H38" s="668"/>
      <c r="I38" s="669">
        <f>H38/G38*100%</f>
        <v>0</v>
      </c>
      <c r="J38" s="510"/>
      <c r="K38" s="611">
        <v>6</v>
      </c>
      <c r="L38" s="510">
        <v>6</v>
      </c>
      <c r="M38" s="511">
        <f t="shared" ref="M38:M40" si="46">L38/B38</f>
        <v>0.24</v>
      </c>
      <c r="N38" s="620">
        <f t="shared" ref="N38:N40" si="47">L38/K38</f>
        <v>1</v>
      </c>
      <c r="O38" s="621"/>
      <c r="P38" s="621"/>
      <c r="Q38" s="511"/>
      <c r="R38" s="620"/>
      <c r="S38" s="620"/>
      <c r="T38" s="610"/>
      <c r="U38" s="611">
        <v>7</v>
      </c>
      <c r="V38" s="510">
        <v>7</v>
      </c>
      <c r="W38" s="511">
        <f>V38/B38</f>
        <v>0.28000000000000003</v>
      </c>
      <c r="X38" s="620">
        <f>V38/U38</f>
        <v>1</v>
      </c>
      <c r="Y38" s="621"/>
      <c r="Z38" s="621"/>
      <c r="AA38" s="511"/>
      <c r="AB38" s="512">
        <f>'[2]CUARTO TRIMESTRE'!D36</f>
        <v>6</v>
      </c>
      <c r="AC38" s="512">
        <f>'[2]CUARTO TRIMESTRE'!J36</f>
        <v>6</v>
      </c>
      <c r="AD38" s="511">
        <f t="shared" ref="AD38:AD40" si="48">AC38/AB38</f>
        <v>1</v>
      </c>
      <c r="AE38" s="511">
        <f t="shared" ref="AE38:AE40" si="49">AC38/B38</f>
        <v>0.24</v>
      </c>
      <c r="AF38" s="511"/>
      <c r="AG38" s="511"/>
      <c r="AH38" s="511"/>
      <c r="AI38" s="620"/>
      <c r="AJ38" s="620"/>
      <c r="AK38" s="509"/>
      <c r="AL38" s="509"/>
      <c r="AM38" s="610" t="s">
        <v>969</v>
      </c>
      <c r="AN38" s="683">
        <f t="shared" ref="AN38:AN40" si="50">AC38+V38+L38+D38</f>
        <v>25</v>
      </c>
      <c r="AO38" s="611">
        <v>25</v>
      </c>
      <c r="AP38" s="689">
        <f t="shared" ref="AP38:AP40" si="51">AN38/AO38*100</f>
        <v>100</v>
      </c>
    </row>
    <row r="39" spans="1:43">
      <c r="A39" s="610" t="s">
        <v>970</v>
      </c>
      <c r="B39" s="682">
        <v>65</v>
      </c>
      <c r="C39" s="611">
        <v>16</v>
      </c>
      <c r="D39" s="510">
        <v>17</v>
      </c>
      <c r="E39" s="511">
        <f>D39/B39*100%</f>
        <v>0.26153846153846155</v>
      </c>
      <c r="F39" s="620">
        <f>D39/C39*100%</f>
        <v>1.0625</v>
      </c>
      <c r="G39" s="908"/>
      <c r="H39" s="668"/>
      <c r="I39" s="669"/>
      <c r="J39" s="510"/>
      <c r="K39" s="611">
        <v>17</v>
      </c>
      <c r="L39" s="510">
        <v>17</v>
      </c>
      <c r="M39" s="511">
        <f t="shared" si="46"/>
        <v>0.26153846153846155</v>
      </c>
      <c r="N39" s="620">
        <f t="shared" si="47"/>
        <v>1</v>
      </c>
      <c r="O39" s="621"/>
      <c r="P39" s="621"/>
      <c r="Q39" s="511"/>
      <c r="R39" s="620"/>
      <c r="S39" s="620"/>
      <c r="T39" s="610"/>
      <c r="U39" s="611">
        <v>16</v>
      </c>
      <c r="V39" s="510">
        <v>17</v>
      </c>
      <c r="W39" s="511">
        <f>V39/B39</f>
        <v>0.26153846153846155</v>
      </c>
      <c r="X39" s="620">
        <f>V39/U39</f>
        <v>1.0625</v>
      </c>
      <c r="Y39" s="621"/>
      <c r="Z39" s="621"/>
      <c r="AA39" s="511"/>
      <c r="AB39" s="512">
        <f>'[2]CUARTO TRIMESTRE'!D37</f>
        <v>16</v>
      </c>
      <c r="AC39" s="512">
        <f>'[2]CUARTO TRIMESTRE'!J37</f>
        <v>12</v>
      </c>
      <c r="AD39" s="511">
        <f t="shared" si="48"/>
        <v>0.75</v>
      </c>
      <c r="AE39" s="511">
        <f t="shared" si="49"/>
        <v>0.18461538461538463</v>
      </c>
      <c r="AF39" s="511"/>
      <c r="AG39" s="511"/>
      <c r="AH39" s="511"/>
      <c r="AI39" s="620"/>
      <c r="AJ39" s="620"/>
      <c r="AK39" s="509"/>
      <c r="AL39" s="509"/>
      <c r="AM39" s="610" t="s">
        <v>970</v>
      </c>
      <c r="AN39" s="683">
        <f t="shared" si="50"/>
        <v>63</v>
      </c>
      <c r="AO39" s="611">
        <v>65</v>
      </c>
      <c r="AP39" s="689">
        <f t="shared" si="51"/>
        <v>96.92307692307692</v>
      </c>
    </row>
    <row r="40" spans="1:43">
      <c r="A40" s="610" t="s">
        <v>971</v>
      </c>
      <c r="B40" s="682">
        <v>15</v>
      </c>
      <c r="C40" s="682">
        <v>3</v>
      </c>
      <c r="D40" s="510">
        <v>4</v>
      </c>
      <c r="E40" s="511">
        <f>D40/B40*100%</f>
        <v>0.26666666666666666</v>
      </c>
      <c r="F40" s="620">
        <f>D40/C40*100%</f>
        <v>1.3333333333333333</v>
      </c>
      <c r="G40" s="909"/>
      <c r="H40" s="668"/>
      <c r="I40" s="669"/>
      <c r="J40" s="510"/>
      <c r="K40" s="682">
        <v>5</v>
      </c>
      <c r="L40" s="510">
        <v>5</v>
      </c>
      <c r="M40" s="511">
        <f t="shared" si="46"/>
        <v>0.33333333333333331</v>
      </c>
      <c r="N40" s="620">
        <f t="shared" si="47"/>
        <v>1</v>
      </c>
      <c r="O40" s="621"/>
      <c r="P40" s="621"/>
      <c r="Q40" s="511"/>
      <c r="R40" s="620"/>
      <c r="S40" s="620"/>
      <c r="T40" s="610"/>
      <c r="U40" s="682">
        <v>3</v>
      </c>
      <c r="V40" s="510">
        <v>5</v>
      </c>
      <c r="W40" s="511">
        <f>V40/B40</f>
        <v>0.33333333333333331</v>
      </c>
      <c r="X40" s="620">
        <f>V40/U40</f>
        <v>1.6666666666666667</v>
      </c>
      <c r="Y40" s="621"/>
      <c r="Z40" s="621"/>
      <c r="AA40" s="511"/>
      <c r="AB40" s="690">
        <f>'[2]CUARTO TRIMESTRE'!D38</f>
        <v>4</v>
      </c>
      <c r="AC40" s="512">
        <f>'[2]CUARTO TRIMESTRE'!J38</f>
        <v>4</v>
      </c>
      <c r="AD40" s="511">
        <f t="shared" si="48"/>
        <v>1</v>
      </c>
      <c r="AE40" s="511">
        <f t="shared" si="49"/>
        <v>0.26666666666666666</v>
      </c>
      <c r="AF40" s="511"/>
      <c r="AG40" s="511"/>
      <c r="AH40" s="511"/>
      <c r="AI40" s="620"/>
      <c r="AJ40" s="620"/>
      <c r="AK40" s="509"/>
      <c r="AL40" s="509"/>
      <c r="AM40" s="610" t="s">
        <v>971</v>
      </c>
      <c r="AN40" s="683">
        <f t="shared" si="50"/>
        <v>18</v>
      </c>
      <c r="AO40" s="611">
        <v>15</v>
      </c>
      <c r="AP40" s="689">
        <f t="shared" si="51"/>
        <v>120</v>
      </c>
    </row>
    <row r="41" spans="1:43">
      <c r="A41" s="610"/>
      <c r="B41" s="610"/>
      <c r="C41" s="610"/>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509"/>
      <c r="AL41" s="509"/>
      <c r="AM41" s="509"/>
      <c r="AN41" s="691">
        <f>AN37+AN34+AN26+AN20+AN16+AN12+AN7</f>
        <v>9007</v>
      </c>
      <c r="AO41" s="691">
        <f>AO37+AO34+AO26+AO20+AO16+AO12+AO7</f>
        <v>9255</v>
      </c>
    </row>
    <row r="42" spans="1:43" ht="30">
      <c r="A42" s="692" t="s">
        <v>1165</v>
      </c>
      <c r="B42" s="693">
        <f>B37+B34+B30+B26+B20+B16+B12+B7</f>
        <v>9265</v>
      </c>
      <c r="C42" s="693">
        <f>C37+C34+C30+C26+C20+C16+C12+C7</f>
        <v>3770</v>
      </c>
      <c r="D42" s="693">
        <f>D37+D34+D30+D26+D20+D16+D12+D7</f>
        <v>3766</v>
      </c>
      <c r="E42" s="694">
        <f>AVERAGE(E37,E34,E30,E26,E20,E16,E12,E7)</f>
        <v>0.21748274842777943</v>
      </c>
      <c r="F42" s="695">
        <f>C42/D42</f>
        <v>1.0010621348911313</v>
      </c>
      <c r="G42" s="693">
        <f>G37+G34+G30+G26+G20+G16+G12+G7</f>
        <v>154210833597</v>
      </c>
      <c r="H42" s="693"/>
      <c r="I42" s="696"/>
      <c r="J42" s="697"/>
      <c r="K42" s="693">
        <f>K37+K34+K30+K26+K16+K12+K7+K20</f>
        <v>3684</v>
      </c>
      <c r="L42" s="693">
        <f>L37+L34+L30+L26+L16+L12+L7+L20</f>
        <v>3594</v>
      </c>
      <c r="M42" s="696">
        <f>L42/B42</f>
        <v>0.38791149487317861</v>
      </c>
      <c r="N42" s="696">
        <f>L42/K42</f>
        <v>0.97557003257328989</v>
      </c>
      <c r="O42" s="693"/>
      <c r="P42" s="693"/>
      <c r="Q42" s="696"/>
      <c r="R42" s="696"/>
      <c r="S42" s="696"/>
      <c r="T42" s="698"/>
      <c r="U42" s="693">
        <f>U37+U34+U30+U26+U20+U16+U12+U7</f>
        <v>1347</v>
      </c>
      <c r="V42" s="693">
        <f>V37+V34+V30+V26+V20+V16+V12+V7</f>
        <v>1218</v>
      </c>
      <c r="W42" s="696">
        <f>V42/B42</f>
        <v>0.13146249325418241</v>
      </c>
      <c r="X42" s="695">
        <f>V42/U42</f>
        <v>0.90423162583518935</v>
      </c>
      <c r="Y42" s="693"/>
      <c r="Z42" s="693"/>
      <c r="AA42" s="696"/>
      <c r="AB42" s="699">
        <f>AB37+AB34+AB30+AB26+AB20+AB16+AB12+AB7</f>
        <v>466</v>
      </c>
      <c r="AC42" s="699">
        <f>AC37+AC34+AC30+AC26+AC20+AC16+AC12+AC7</f>
        <v>438</v>
      </c>
      <c r="AD42" s="695">
        <f>AC42/AB42</f>
        <v>0.93991416309012876</v>
      </c>
      <c r="AE42" s="696">
        <f>AC42/B42</f>
        <v>4.7274689692390716E-2</v>
      </c>
      <c r="AF42" s="696"/>
      <c r="AG42" s="696"/>
      <c r="AH42" s="696"/>
      <c r="AI42" s="696"/>
      <c r="AJ42" s="696"/>
      <c r="AK42" s="698"/>
      <c r="AL42" s="698"/>
      <c r="AM42" s="698"/>
      <c r="AN42" s="509"/>
      <c r="AO42" s="509"/>
    </row>
    <row r="43" spans="1:43" s="610" customFormat="1" hidden="1">
      <c r="A43" s="639" t="s">
        <v>589</v>
      </c>
      <c r="B43" s="650">
        <v>9255</v>
      </c>
      <c r="C43" s="650">
        <v>3770</v>
      </c>
      <c r="D43" s="650">
        <f>D38+D35+D31+D27+D21+D17+D13+D8</f>
        <v>3571</v>
      </c>
      <c r="E43" s="655">
        <f>D43/B43*100%</f>
        <v>0.38584548892490544</v>
      </c>
      <c r="F43" s="652">
        <f>D42/C42*100%</f>
        <v>0.9989389920424403</v>
      </c>
      <c r="G43" s="514"/>
      <c r="H43" s="514"/>
      <c r="I43" s="652"/>
      <c r="J43" s="653"/>
      <c r="K43" s="514"/>
      <c r="L43" s="514"/>
      <c r="M43" s="652"/>
      <c r="N43" s="652"/>
      <c r="O43" s="514"/>
      <c r="P43" s="514"/>
      <c r="Q43" s="652"/>
      <c r="R43" s="652"/>
      <c r="S43" s="652"/>
      <c r="T43" s="639"/>
      <c r="U43" s="514"/>
      <c r="V43" s="514"/>
      <c r="W43" s="652"/>
      <c r="X43" s="652"/>
      <c r="Y43" s="514"/>
      <c r="Z43" s="514"/>
      <c r="AA43" s="652"/>
      <c r="AB43" s="516"/>
      <c r="AC43" s="516"/>
      <c r="AD43" s="652"/>
      <c r="AE43" s="652"/>
      <c r="AF43" s="652"/>
      <c r="AG43" s="652"/>
      <c r="AH43" s="652"/>
      <c r="AI43" s="652"/>
      <c r="AJ43" s="652"/>
      <c r="AK43" s="639"/>
      <c r="AL43" s="639"/>
      <c r="AM43" s="639"/>
    </row>
    <row r="44" spans="1:43" s="610" customFormat="1">
      <c r="A44" s="639"/>
      <c r="B44" s="514"/>
      <c r="C44" s="514"/>
      <c r="D44" s="514"/>
      <c r="E44" s="651"/>
      <c r="F44" s="652"/>
      <c r="G44" s="514"/>
      <c r="H44" s="514"/>
      <c r="I44" s="652"/>
      <c r="J44" s="653"/>
      <c r="K44" s="514"/>
      <c r="L44" s="514"/>
      <c r="M44" s="652"/>
      <c r="N44" s="652"/>
      <c r="O44" s="514"/>
      <c r="P44" s="514"/>
      <c r="Q44" s="652"/>
      <c r="R44" s="652"/>
      <c r="S44" s="652"/>
      <c r="T44" s="639"/>
      <c r="U44" s="514"/>
      <c r="V44" s="514"/>
      <c r="W44" s="652"/>
      <c r="X44" s="652"/>
      <c r="Y44" s="514"/>
      <c r="Z44" s="514"/>
      <c r="AA44" s="652"/>
      <c r="AB44" s="516"/>
      <c r="AC44" s="516"/>
      <c r="AD44" s="652"/>
      <c r="AE44" s="652"/>
      <c r="AF44" s="652"/>
      <c r="AG44" s="652"/>
      <c r="AH44" s="652"/>
      <c r="AI44" s="652"/>
      <c r="AJ44" s="652"/>
      <c r="AK44" s="639"/>
      <c r="AL44" s="639"/>
      <c r="AM44" s="639"/>
    </row>
    <row r="45" spans="1:43" s="610" customFormat="1">
      <c r="A45" s="639"/>
      <c r="B45" s="514"/>
      <c r="C45" s="514"/>
      <c r="D45" s="514"/>
      <c r="E45" s="651"/>
      <c r="F45" s="652"/>
      <c r="G45" s="514"/>
      <c r="H45" s="514"/>
      <c r="I45" s="652"/>
      <c r="J45" s="653"/>
      <c r="K45" s="514"/>
      <c r="L45" s="514"/>
      <c r="M45" s="652"/>
      <c r="N45" s="674">
        <f>683-656</f>
        <v>27</v>
      </c>
      <c r="O45" s="514"/>
      <c r="P45" s="514"/>
      <c r="Q45" s="652"/>
      <c r="R45" s="652"/>
      <c r="S45" s="652"/>
      <c r="T45" s="639"/>
      <c r="U45" s="514"/>
      <c r="V45" s="514"/>
      <c r="W45" s="652"/>
      <c r="X45" s="652"/>
      <c r="Y45" s="514"/>
      <c r="Z45" s="514"/>
      <c r="AA45" s="652"/>
      <c r="AB45" s="516"/>
      <c r="AC45" s="516"/>
      <c r="AD45" s="652"/>
      <c r="AE45" s="652"/>
      <c r="AF45" s="652"/>
      <c r="AG45" s="652"/>
      <c r="AH45" s="652"/>
      <c r="AI45" s="652"/>
      <c r="AJ45" s="652"/>
      <c r="AK45" s="639"/>
      <c r="AL45" s="639"/>
      <c r="AM45" s="639"/>
    </row>
    <row r="46" spans="1:43" s="610" customFormat="1">
      <c r="A46" s="639"/>
      <c r="B46" s="514"/>
      <c r="C46" s="514"/>
      <c r="D46" s="514"/>
      <c r="E46" s="651"/>
      <c r="F46" s="652"/>
      <c r="G46" s="514"/>
      <c r="H46" s="514"/>
      <c r="I46" s="652"/>
      <c r="J46" s="653"/>
      <c r="K46" s="514"/>
      <c r="L46" s="514"/>
      <c r="M46" s="652"/>
      <c r="N46" s="652"/>
      <c r="O46" s="514"/>
      <c r="P46" s="514"/>
      <c r="Q46" s="652"/>
      <c r="R46" s="652"/>
      <c r="S46" s="652"/>
      <c r="T46" s="639"/>
      <c r="U46" s="514"/>
      <c r="V46" s="514">
        <f>9374-9255</f>
        <v>119</v>
      </c>
      <c r="W46" s="652"/>
      <c r="X46" s="652"/>
      <c r="Y46" s="514"/>
      <c r="Z46" s="514"/>
      <c r="AA46" s="652"/>
      <c r="AB46" s="516"/>
      <c r="AC46" s="516"/>
      <c r="AD46" s="652"/>
      <c r="AE46" s="652"/>
      <c r="AF46" s="652"/>
      <c r="AG46" s="652"/>
      <c r="AH46" s="652"/>
      <c r="AI46" s="652"/>
      <c r="AJ46" s="652"/>
      <c r="AK46" s="639"/>
      <c r="AL46" s="639"/>
      <c r="AM46" s="639"/>
    </row>
    <row r="47" spans="1:43" s="610" customFormat="1">
      <c r="A47" s="639"/>
      <c r="B47" s="514"/>
      <c r="C47" s="514"/>
      <c r="D47" s="514"/>
      <c r="E47" s="651"/>
      <c r="F47" s="652"/>
      <c r="G47" s="514"/>
      <c r="H47" s="514"/>
      <c r="I47" s="652"/>
      <c r="J47" s="653"/>
      <c r="K47" s="514"/>
      <c r="L47" s="514"/>
      <c r="M47" s="652"/>
      <c r="N47" s="652"/>
      <c r="O47" s="514"/>
      <c r="P47" s="514"/>
      <c r="Q47" s="652"/>
      <c r="R47" s="652"/>
      <c r="S47" s="652"/>
      <c r="T47" s="639"/>
      <c r="U47" s="514">
        <f>9229-9255</f>
        <v>-26</v>
      </c>
      <c r="V47" s="514"/>
      <c r="W47" s="652"/>
      <c r="X47" s="652"/>
      <c r="Y47" s="514"/>
      <c r="Z47" s="514"/>
      <c r="AA47" s="652"/>
      <c r="AB47" s="516"/>
      <c r="AC47" s="516"/>
      <c r="AD47" s="652"/>
      <c r="AE47" s="652"/>
      <c r="AF47" s="652"/>
      <c r="AG47" s="652"/>
      <c r="AH47" s="652"/>
      <c r="AI47" s="652"/>
      <c r="AJ47" s="652"/>
      <c r="AK47" s="639"/>
      <c r="AL47" s="639"/>
      <c r="AM47" s="639"/>
    </row>
    <row r="48" spans="1:43" s="610" customFormat="1">
      <c r="A48" s="639"/>
      <c r="B48" s="514"/>
      <c r="C48" s="514"/>
      <c r="D48" s="514"/>
      <c r="E48" s="651"/>
      <c r="F48" s="652"/>
      <c r="G48" s="514"/>
      <c r="H48" s="514"/>
      <c r="I48" s="652"/>
      <c r="J48" s="653"/>
      <c r="K48" s="514"/>
      <c r="L48" s="514"/>
      <c r="M48" s="652"/>
      <c r="N48" s="652"/>
      <c r="O48" s="514"/>
      <c r="P48" s="514"/>
      <c r="Q48" s="652"/>
      <c r="R48" s="652"/>
      <c r="S48" s="652"/>
      <c r="T48" s="639"/>
      <c r="U48" s="514"/>
      <c r="V48" s="514"/>
      <c r="W48" s="652"/>
      <c r="X48" s="652"/>
      <c r="Y48" s="514"/>
      <c r="Z48" s="514"/>
      <c r="AA48" s="652"/>
      <c r="AB48" s="516"/>
      <c r="AC48" s="516"/>
      <c r="AD48" s="652"/>
      <c r="AE48" s="652"/>
      <c r="AF48" s="652"/>
      <c r="AG48" s="652"/>
      <c r="AH48" s="652"/>
      <c r="AI48" s="652"/>
      <c r="AJ48" s="652"/>
      <c r="AK48" s="639"/>
      <c r="AL48" s="639"/>
      <c r="AM48" s="639"/>
    </row>
    <row r="49" spans="1:41" s="610" customFormat="1">
      <c r="A49" s="639"/>
      <c r="B49" s="514"/>
      <c r="C49" s="514"/>
      <c r="D49" s="514"/>
      <c r="E49" s="651"/>
      <c r="F49" s="652"/>
      <c r="G49" s="514"/>
      <c r="H49" s="514"/>
      <c r="I49" s="652"/>
      <c r="J49" s="653"/>
      <c r="K49" s="514"/>
      <c r="L49" s="514"/>
      <c r="M49" s="652"/>
      <c r="N49" s="652"/>
      <c r="O49" s="514"/>
      <c r="P49" s="514"/>
      <c r="Q49" s="652"/>
      <c r="R49" s="652"/>
      <c r="S49" s="652"/>
      <c r="T49" s="639"/>
      <c r="U49" s="514"/>
      <c r="V49" s="514"/>
      <c r="W49" s="652"/>
      <c r="X49" s="652"/>
      <c r="Y49" s="514"/>
      <c r="Z49" s="514"/>
      <c r="AA49" s="652"/>
      <c r="AB49" s="516"/>
      <c r="AC49" s="516"/>
      <c r="AD49" s="652"/>
      <c r="AE49" s="652"/>
      <c r="AF49" s="652"/>
      <c r="AG49" s="652"/>
      <c r="AH49" s="652"/>
      <c r="AI49" s="652"/>
      <c r="AJ49" s="652"/>
      <c r="AK49" s="639"/>
      <c r="AL49" s="639"/>
      <c r="AM49" s="639"/>
    </row>
    <row r="50" spans="1:41" s="509" customFormat="1">
      <c r="A50" s="639"/>
      <c r="B50" s="611"/>
      <c r="C50" s="611"/>
      <c r="D50" s="611"/>
      <c r="E50" s="510"/>
      <c r="F50" s="622"/>
      <c r="G50" s="622"/>
      <c r="H50" s="622"/>
      <c r="I50" s="622"/>
      <c r="J50" s="5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row>
    <row r="51" spans="1:41" ht="23.25">
      <c r="A51" s="629"/>
      <c r="B51" s="625"/>
      <c r="C51" s="625"/>
      <c r="D51" s="625"/>
      <c r="E51" s="626"/>
      <c r="F51" s="627"/>
      <c r="G51" s="627"/>
      <c r="H51" s="627"/>
      <c r="I51" s="627"/>
      <c r="J51" s="654">
        <v>90692582257</v>
      </c>
      <c r="AO51">
        <v>1158</v>
      </c>
    </row>
    <row r="52" spans="1:41" ht="15.75" thickBot="1">
      <c r="A52" s="629"/>
      <c r="B52" s="625"/>
      <c r="C52" s="625"/>
      <c r="D52" s="625"/>
      <c r="E52" s="626"/>
      <c r="F52" s="627"/>
      <c r="G52" s="624"/>
      <c r="H52" s="624">
        <f>G42-G52</f>
        <v>154210833597</v>
      </c>
      <c r="I52" s="627"/>
      <c r="J52" s="626"/>
      <c r="X52">
        <f>9276-9255</f>
        <v>21</v>
      </c>
      <c r="AN52">
        <f>9377-9255</f>
        <v>122</v>
      </c>
    </row>
    <row r="53" spans="1:41">
      <c r="A53" s="629"/>
      <c r="B53" s="625"/>
      <c r="C53" s="625"/>
      <c r="D53" s="625"/>
      <c r="E53" s="626"/>
      <c r="F53" s="627"/>
      <c r="G53" s="627"/>
      <c r="H53" s="627"/>
      <c r="I53" s="627"/>
      <c r="J53" s="626"/>
      <c r="K53" s="628"/>
      <c r="L53" s="628"/>
      <c r="M53" s="628"/>
      <c r="N53" s="628"/>
      <c r="O53" s="628"/>
    </row>
    <row r="54" spans="1:41">
      <c r="A54" s="630"/>
      <c r="B54" s="628"/>
      <c r="C54" s="628"/>
      <c r="D54" s="628"/>
      <c r="E54" s="628"/>
      <c r="F54" s="628"/>
      <c r="G54" s="628"/>
      <c r="H54" s="628"/>
      <c r="I54" s="628"/>
      <c r="J54" s="628"/>
      <c r="K54" s="628"/>
      <c r="L54" s="628"/>
      <c r="M54" s="628"/>
      <c r="N54" s="628"/>
      <c r="O54" s="628"/>
    </row>
    <row r="55" spans="1:41">
      <c r="A55" s="931" t="s">
        <v>975</v>
      </c>
      <c r="B55" s="931"/>
      <c r="C55" s="931"/>
      <c r="D55" s="931"/>
      <c r="E55" s="931"/>
      <c r="F55" s="931"/>
      <c r="G55" s="931"/>
      <c r="H55" s="931"/>
      <c r="I55" s="931"/>
      <c r="J55" s="931"/>
      <c r="K55" s="931"/>
      <c r="L55" s="931"/>
      <c r="M55" s="931"/>
      <c r="N55" s="931"/>
      <c r="O55" s="931"/>
    </row>
    <row r="56" spans="1:41" ht="60">
      <c r="A56" s="932" t="s">
        <v>639</v>
      </c>
      <c r="B56" s="933" t="s">
        <v>976</v>
      </c>
      <c r="C56" s="933" t="s">
        <v>977</v>
      </c>
      <c r="D56" s="933" t="s">
        <v>691</v>
      </c>
      <c r="E56" s="933" t="s">
        <v>978</v>
      </c>
      <c r="F56" s="933" t="s">
        <v>691</v>
      </c>
      <c r="G56" s="631"/>
      <c r="H56" s="631"/>
      <c r="I56" s="631"/>
      <c r="J56" s="933" t="s">
        <v>979</v>
      </c>
      <c r="K56" s="933" t="s">
        <v>691</v>
      </c>
      <c r="L56" s="933" t="s">
        <v>980</v>
      </c>
      <c r="M56" s="933" t="s">
        <v>691</v>
      </c>
      <c r="N56" s="933" t="s">
        <v>981</v>
      </c>
      <c r="O56" s="933" t="s">
        <v>982</v>
      </c>
      <c r="V56" s="515" t="s">
        <v>973</v>
      </c>
      <c r="W56" s="515" t="s">
        <v>983</v>
      </c>
      <c r="X56" s="515" t="s">
        <v>984</v>
      </c>
      <c r="Y56" s="515" t="s">
        <v>985</v>
      </c>
      <c r="Z56" s="515" t="s">
        <v>986</v>
      </c>
      <c r="AA56" s="515" t="s">
        <v>987</v>
      </c>
      <c r="AB56" s="515" t="s">
        <v>974</v>
      </c>
    </row>
    <row r="57" spans="1:41">
      <c r="A57" s="932"/>
      <c r="B57" s="933" t="s">
        <v>593</v>
      </c>
      <c r="C57" s="933"/>
      <c r="D57" s="933"/>
      <c r="E57" s="933"/>
      <c r="F57" s="933"/>
      <c r="G57" s="631"/>
      <c r="H57" s="631"/>
      <c r="I57" s="631"/>
      <c r="J57" s="933"/>
      <c r="K57" s="933"/>
      <c r="L57" s="933"/>
      <c r="M57" s="933"/>
      <c r="N57" s="933"/>
      <c r="O57" s="933"/>
      <c r="V57" s="516">
        <v>12431</v>
      </c>
      <c r="W57" s="516">
        <f>U42</f>
        <v>1347</v>
      </c>
      <c r="X57" s="517">
        <f>V42</f>
        <v>1218</v>
      </c>
      <c r="Y57" s="518">
        <f>X57/W57*100</f>
        <v>90.423162583518931</v>
      </c>
      <c r="Z57" s="518">
        <f>C42+K42+U42</f>
        <v>8801</v>
      </c>
      <c r="AA57" s="519">
        <f>V42+L42+D42</f>
        <v>8578</v>
      </c>
      <c r="AB57" s="520">
        <f>AA57/B42*100</f>
        <v>92.584997301672971</v>
      </c>
    </row>
    <row r="58" spans="1:41">
      <c r="A58" s="610" t="s">
        <v>644</v>
      </c>
      <c r="B58" s="611">
        <v>768943571</v>
      </c>
      <c r="C58" s="510">
        <v>0</v>
      </c>
      <c r="D58" s="511">
        <f>C58*B58/100</f>
        <v>0</v>
      </c>
      <c r="E58" s="510">
        <v>0</v>
      </c>
      <c r="F58" s="511">
        <f>E58*D58/100</f>
        <v>0</v>
      </c>
      <c r="G58" s="511"/>
      <c r="H58" s="511"/>
      <c r="I58" s="511"/>
      <c r="J58" s="610"/>
      <c r="K58" s="511">
        <f>J58*F58/100</f>
        <v>0</v>
      </c>
      <c r="L58" s="610"/>
      <c r="M58" s="511">
        <f>L58*K58/100</f>
        <v>0</v>
      </c>
      <c r="N58" s="510">
        <f>C58+E58+J58+L58</f>
        <v>0</v>
      </c>
      <c r="O58" s="632">
        <f>N58*100</f>
        <v>0</v>
      </c>
    </row>
    <row r="59" spans="1:41">
      <c r="A59" s="610" t="s">
        <v>969</v>
      </c>
      <c r="B59" s="611"/>
      <c r="C59" s="510"/>
      <c r="D59" s="511">
        <f t="shared" ref="D59:D61" si="52">C59*B59/100</f>
        <v>0</v>
      </c>
      <c r="E59" s="510"/>
      <c r="F59" s="511">
        <f t="shared" ref="F59:F61" si="53">E59*D59/100</f>
        <v>0</v>
      </c>
      <c r="G59" s="511"/>
      <c r="H59" s="511"/>
      <c r="I59" s="511"/>
      <c r="J59" s="610"/>
      <c r="K59" s="511">
        <f>J59*F59/100</f>
        <v>0</v>
      </c>
      <c r="L59" s="610"/>
      <c r="M59" s="511">
        <f t="shared" ref="M59:M61" si="54">L59*K59/100</f>
        <v>0</v>
      </c>
      <c r="N59" s="510">
        <f>C59+E59+J59+L59</f>
        <v>0</v>
      </c>
      <c r="O59" s="632">
        <f t="shared" ref="O59:O61" si="55">N59*100</f>
        <v>0</v>
      </c>
      <c r="V59" s="916" t="s">
        <v>988</v>
      </c>
      <c r="W59" s="916"/>
      <c r="X59" s="916" t="s">
        <v>989</v>
      </c>
      <c r="Y59" s="916"/>
    </row>
    <row r="60" spans="1:41" ht="45">
      <c r="A60" s="610" t="s">
        <v>970</v>
      </c>
      <c r="B60" s="611"/>
      <c r="C60" s="510"/>
      <c r="D60" s="511">
        <f t="shared" si="52"/>
        <v>0</v>
      </c>
      <c r="E60" s="510"/>
      <c r="F60" s="511">
        <f t="shared" si="53"/>
        <v>0</v>
      </c>
      <c r="G60" s="511"/>
      <c r="H60" s="511"/>
      <c r="I60" s="511"/>
      <c r="J60" s="610"/>
      <c r="K60" s="511">
        <f>J60*F60/100</f>
        <v>0</v>
      </c>
      <c r="L60" s="610"/>
      <c r="M60" s="511">
        <f t="shared" si="54"/>
        <v>0</v>
      </c>
      <c r="N60" s="510">
        <f>C60+E60+J60+L60</f>
        <v>0</v>
      </c>
      <c r="O60" s="632">
        <f>N60*100</f>
        <v>0</v>
      </c>
      <c r="V60" s="515" t="s">
        <v>990</v>
      </c>
      <c r="W60" s="515" t="s">
        <v>670</v>
      </c>
      <c r="X60" s="515" t="s">
        <v>990</v>
      </c>
      <c r="Y60" s="515" t="s">
        <v>670</v>
      </c>
    </row>
    <row r="61" spans="1:41">
      <c r="A61" s="610" t="s">
        <v>971</v>
      </c>
      <c r="B61" s="611"/>
      <c r="C61" s="510"/>
      <c r="D61" s="511">
        <f t="shared" si="52"/>
        <v>0</v>
      </c>
      <c r="E61" s="510"/>
      <c r="F61" s="511">
        <f t="shared" si="53"/>
        <v>0</v>
      </c>
      <c r="G61" s="511"/>
      <c r="H61" s="511"/>
      <c r="I61" s="511"/>
      <c r="J61" s="610"/>
      <c r="K61" s="511">
        <f>J61*F61/100</f>
        <v>0</v>
      </c>
      <c r="L61" s="610"/>
      <c r="M61" s="511">
        <f t="shared" si="54"/>
        <v>0</v>
      </c>
      <c r="N61" s="510">
        <f>C61+E61+J61+L61</f>
        <v>0</v>
      </c>
      <c r="O61" s="632">
        <f t="shared" si="55"/>
        <v>0</v>
      </c>
      <c r="V61" s="509" t="s">
        <v>640</v>
      </c>
      <c r="W61" s="521">
        <v>126</v>
      </c>
      <c r="X61" s="509" t="s">
        <v>640</v>
      </c>
      <c r="Y61" s="521">
        <v>22</v>
      </c>
    </row>
    <row r="62" spans="1:41">
      <c r="A62" s="610"/>
      <c r="B62" s="610"/>
      <c r="C62" s="610"/>
      <c r="D62" s="610"/>
      <c r="E62" s="610"/>
      <c r="F62" s="610"/>
      <c r="G62" s="610"/>
      <c r="H62" s="610"/>
      <c r="I62" s="610"/>
      <c r="J62" s="610"/>
      <c r="K62" s="610"/>
      <c r="L62" s="610"/>
      <c r="M62" s="610"/>
      <c r="N62" s="510"/>
      <c r="O62" s="610"/>
      <c r="V62" s="509" t="s">
        <v>991</v>
      </c>
      <c r="W62" s="521">
        <v>136</v>
      </c>
      <c r="X62" s="509" t="s">
        <v>991</v>
      </c>
      <c r="Y62" s="521">
        <v>39</v>
      </c>
    </row>
    <row r="63" spans="1:41">
      <c r="A63" s="610" t="s">
        <v>645</v>
      </c>
      <c r="B63" s="611">
        <v>24542186369.194084</v>
      </c>
      <c r="C63" s="510">
        <v>0</v>
      </c>
      <c r="D63" s="511">
        <f>C63*B63/100</f>
        <v>0</v>
      </c>
      <c r="E63" s="510">
        <v>0</v>
      </c>
      <c r="F63" s="511">
        <f>E63*D63/100</f>
        <v>0</v>
      </c>
      <c r="G63" s="511"/>
      <c r="H63" s="511"/>
      <c r="I63" s="511"/>
      <c r="J63" s="610"/>
      <c r="K63" s="511">
        <f>J63*F63/100</f>
        <v>0</v>
      </c>
      <c r="L63" s="610"/>
      <c r="M63" s="511">
        <f>L63*K63/100</f>
        <v>0</v>
      </c>
      <c r="N63" s="510">
        <f>C63+E63+J63+L63</f>
        <v>0</v>
      </c>
      <c r="O63" s="632">
        <f t="shared" ref="O63:O64" si="56">N63*100</f>
        <v>0</v>
      </c>
      <c r="V63" s="509" t="s">
        <v>642</v>
      </c>
      <c r="W63" s="521">
        <v>91</v>
      </c>
      <c r="X63" s="509" t="s">
        <v>642</v>
      </c>
      <c r="Y63" s="521">
        <v>88</v>
      </c>
    </row>
    <row r="64" spans="1:41">
      <c r="A64" s="610" t="s">
        <v>969</v>
      </c>
      <c r="B64" s="611"/>
      <c r="C64" s="510"/>
      <c r="D64" s="511">
        <f t="shared" ref="D64" si="57">C64*B64/100</f>
        <v>0</v>
      </c>
      <c r="E64" s="510"/>
      <c r="F64" s="511">
        <f>E64*D64/100</f>
        <v>0</v>
      </c>
      <c r="G64" s="511"/>
      <c r="H64" s="511"/>
      <c r="I64" s="511"/>
      <c r="J64" s="610"/>
      <c r="K64" s="511">
        <f>J64*F64/100</f>
        <v>0</v>
      </c>
      <c r="L64" s="610"/>
      <c r="M64" s="511">
        <f t="shared" ref="M64" si="58">L64*K64/100</f>
        <v>0</v>
      </c>
      <c r="N64" s="510">
        <f>C64+E64+J64+L64</f>
        <v>0</v>
      </c>
      <c r="O64" s="632">
        <f t="shared" si="56"/>
        <v>0</v>
      </c>
      <c r="V64" s="523" t="s">
        <v>792</v>
      </c>
      <c r="W64" s="524">
        <f>AVERAGE(W61:W63)</f>
        <v>117.66666666666667</v>
      </c>
      <c r="X64" s="523" t="s">
        <v>792</v>
      </c>
      <c r="Y64" s="524">
        <f>AVERAGE(Y61:Y63)</f>
        <v>49.666666666666664</v>
      </c>
    </row>
    <row r="65" spans="1:33">
      <c r="A65" s="610"/>
      <c r="B65" s="611"/>
      <c r="C65" s="510"/>
      <c r="D65" s="511"/>
      <c r="E65" s="510"/>
      <c r="F65" s="511"/>
      <c r="G65" s="511"/>
      <c r="H65" s="511"/>
      <c r="I65" s="511"/>
      <c r="J65" s="610"/>
      <c r="K65" s="511"/>
      <c r="L65" s="610"/>
      <c r="M65" s="511"/>
      <c r="N65" s="510"/>
      <c r="O65" s="632"/>
      <c r="V65" s="525"/>
      <c r="W65" s="526"/>
      <c r="X65" s="527"/>
      <c r="Y65" s="528"/>
    </row>
    <row r="66" spans="1:33" ht="15" customHeight="1">
      <c r="A66" s="610" t="s">
        <v>969</v>
      </c>
      <c r="B66" s="611"/>
      <c r="C66" s="510"/>
      <c r="D66" s="511">
        <f t="shared" ref="D66:D67" si="59">C66*B66/100</f>
        <v>0</v>
      </c>
      <c r="E66" s="510"/>
      <c r="F66" s="511">
        <f>E66*D66/100</f>
        <v>0</v>
      </c>
      <c r="G66" s="511"/>
      <c r="H66" s="511"/>
      <c r="I66" s="511"/>
      <c r="J66" s="610"/>
      <c r="K66" s="511">
        <f>J66*F66/100</f>
        <v>0</v>
      </c>
      <c r="L66" s="610"/>
      <c r="M66" s="511">
        <f>L66*K66/100</f>
        <v>0</v>
      </c>
      <c r="N66" s="510">
        <f>C66+E66+J66+L66</f>
        <v>0</v>
      </c>
      <c r="O66" s="632">
        <f t="shared" ref="O66:O67" si="60">N66*100</f>
        <v>0</v>
      </c>
      <c r="V66" s="917" t="s">
        <v>992</v>
      </c>
      <c r="W66" s="918"/>
      <c r="X66" s="918"/>
      <c r="Y66" s="919"/>
      <c r="Z66" s="390"/>
    </row>
    <row r="67" spans="1:33">
      <c r="A67" s="610" t="s">
        <v>970</v>
      </c>
      <c r="B67" s="611"/>
      <c r="C67" s="510"/>
      <c r="D67" s="511">
        <f t="shared" si="59"/>
        <v>0</v>
      </c>
      <c r="E67" s="510"/>
      <c r="F67" s="511">
        <f>E67*D67/100</f>
        <v>0</v>
      </c>
      <c r="G67" s="511"/>
      <c r="H67" s="511"/>
      <c r="I67" s="511"/>
      <c r="J67" s="610"/>
      <c r="K67" s="511">
        <f>J67*F67/100</f>
        <v>0</v>
      </c>
      <c r="L67" s="610"/>
      <c r="M67" s="511">
        <f>L67*K67/100</f>
        <v>0</v>
      </c>
      <c r="N67" s="510">
        <f>C67+E67+J67+L67</f>
        <v>0</v>
      </c>
      <c r="O67" s="632">
        <f t="shared" si="60"/>
        <v>0</v>
      </c>
      <c r="V67" s="529" t="s">
        <v>696</v>
      </c>
      <c r="W67" s="322" t="s">
        <v>695</v>
      </c>
      <c r="X67" s="322" t="s">
        <v>993</v>
      </c>
      <c r="Y67" s="529" t="s">
        <v>696</v>
      </c>
      <c r="Z67" s="1"/>
    </row>
    <row r="68" spans="1:33">
      <c r="A68" s="610"/>
      <c r="B68" s="610"/>
      <c r="C68" s="610"/>
      <c r="D68" s="610"/>
      <c r="E68" s="610"/>
      <c r="F68" s="610"/>
      <c r="G68" s="610"/>
      <c r="H68" s="610"/>
      <c r="I68" s="610"/>
      <c r="J68" s="610"/>
      <c r="K68" s="610"/>
      <c r="L68" s="610"/>
      <c r="M68" s="610"/>
      <c r="N68" s="510"/>
      <c r="O68" s="610"/>
      <c r="V68" s="93">
        <v>3359</v>
      </c>
      <c r="W68" s="260">
        <v>3685</v>
      </c>
      <c r="X68" s="260">
        <v>78</v>
      </c>
      <c r="Y68" s="93">
        <v>71</v>
      </c>
      <c r="Z68" s="1"/>
    </row>
    <row r="69" spans="1:33">
      <c r="A69" s="610" t="s">
        <v>647</v>
      </c>
      <c r="B69" s="611">
        <v>5129777420.6155205</v>
      </c>
      <c r="C69" s="510">
        <v>0</v>
      </c>
      <c r="D69" s="511">
        <f>C69*B69/100</f>
        <v>0</v>
      </c>
      <c r="E69" s="510">
        <v>0</v>
      </c>
      <c r="F69" s="511">
        <f>E69*D69/100</f>
        <v>0</v>
      </c>
      <c r="G69" s="511"/>
      <c r="H69" s="511"/>
      <c r="I69" s="511"/>
      <c r="J69" s="610"/>
      <c r="K69" s="511">
        <f>J69*F69/100</f>
        <v>0</v>
      </c>
      <c r="L69" s="610"/>
      <c r="M69" s="511">
        <f>L69*K69/100</f>
        <v>0</v>
      </c>
      <c r="N69" s="510">
        <f>C69+E69+J69+L69</f>
        <v>0</v>
      </c>
      <c r="O69" s="632">
        <f t="shared" ref="O69:O73" si="61">N69*100</f>
        <v>0</v>
      </c>
      <c r="V69" s="509"/>
      <c r="W69" s="509"/>
      <c r="X69" s="509"/>
      <c r="Y69" s="509"/>
    </row>
    <row r="70" spans="1:33">
      <c r="A70" s="610" t="s">
        <v>969</v>
      </c>
      <c r="B70" s="611"/>
      <c r="C70" s="510"/>
      <c r="D70" s="511">
        <f t="shared" ref="D70:D73" si="62">C70*B70/100</f>
        <v>0</v>
      </c>
      <c r="E70" s="510"/>
      <c r="F70" s="511">
        <f>E70*D70/100</f>
        <v>0</v>
      </c>
      <c r="G70" s="511"/>
      <c r="H70" s="511"/>
      <c r="I70" s="511"/>
      <c r="J70" s="610"/>
      <c r="K70" s="511">
        <f>J70*F70/100</f>
        <v>0</v>
      </c>
      <c r="L70" s="610"/>
      <c r="M70" s="511">
        <f t="shared" ref="M70:M73" si="63">L70*K70/100</f>
        <v>0</v>
      </c>
      <c r="N70" s="510">
        <f>C70+E70+J70+L70</f>
        <v>0</v>
      </c>
      <c r="O70" s="632">
        <f t="shared" si="61"/>
        <v>0</v>
      </c>
      <c r="V70" s="530">
        <f>V68+Y68</f>
        <v>3430</v>
      </c>
      <c r="W70" s="920">
        <f>W68+X68</f>
        <v>3763</v>
      </c>
      <c r="X70" s="921"/>
      <c r="Y70" s="509"/>
    </row>
    <row r="71" spans="1:33">
      <c r="A71" s="610" t="s">
        <v>970</v>
      </c>
      <c r="B71" s="611"/>
      <c r="C71" s="510"/>
      <c r="D71" s="511">
        <f t="shared" si="62"/>
        <v>0</v>
      </c>
      <c r="E71" s="510"/>
      <c r="F71" s="511">
        <f>E71*D71/100</f>
        <v>0</v>
      </c>
      <c r="G71" s="511"/>
      <c r="H71" s="511"/>
      <c r="I71" s="511"/>
      <c r="J71" s="610"/>
      <c r="K71" s="511">
        <f>J71*F71/100</f>
        <v>0</v>
      </c>
      <c r="L71" s="610"/>
      <c r="M71" s="511">
        <f t="shared" si="63"/>
        <v>0</v>
      </c>
      <c r="N71" s="510">
        <f>C71+E71+J71+L71</f>
        <v>0</v>
      </c>
      <c r="O71" s="632">
        <f t="shared" si="61"/>
        <v>0</v>
      </c>
    </row>
    <row r="72" spans="1:33" ht="75">
      <c r="A72" s="610" t="s">
        <v>971</v>
      </c>
      <c r="B72" s="611"/>
      <c r="C72" s="510"/>
      <c r="D72" s="511">
        <f t="shared" si="62"/>
        <v>0</v>
      </c>
      <c r="E72" s="510"/>
      <c r="F72" s="511">
        <f>E72*D72/100</f>
        <v>0</v>
      </c>
      <c r="G72" s="511"/>
      <c r="H72" s="511"/>
      <c r="I72" s="511"/>
      <c r="J72" s="610"/>
      <c r="K72" s="511">
        <f>J72*F72/100</f>
        <v>0</v>
      </c>
      <c r="L72" s="610"/>
      <c r="M72" s="511">
        <f t="shared" si="63"/>
        <v>0</v>
      </c>
      <c r="N72" s="510">
        <f>C72+E72+J72+L72</f>
        <v>0</v>
      </c>
      <c r="O72" s="632">
        <f t="shared" si="61"/>
        <v>0</v>
      </c>
      <c r="V72" s="515" t="s">
        <v>973</v>
      </c>
      <c r="W72" s="515" t="s">
        <v>983</v>
      </c>
      <c r="X72" s="515" t="s">
        <v>984</v>
      </c>
      <c r="Y72" s="515" t="s">
        <v>985</v>
      </c>
      <c r="Z72" s="515" t="s">
        <v>986</v>
      </c>
      <c r="AA72" s="515" t="s">
        <v>987</v>
      </c>
      <c r="AB72" s="515" t="s">
        <v>994</v>
      </c>
      <c r="AC72" s="515" t="s">
        <v>995</v>
      </c>
      <c r="AD72" s="515" t="s">
        <v>996</v>
      </c>
      <c r="AE72" s="515" t="s">
        <v>997</v>
      </c>
      <c r="AF72" s="515" t="s">
        <v>998</v>
      </c>
      <c r="AG72" s="515" t="s">
        <v>974</v>
      </c>
    </row>
    <row r="73" spans="1:33">
      <c r="A73" s="610" t="s">
        <v>972</v>
      </c>
      <c r="B73" s="611"/>
      <c r="C73" s="510"/>
      <c r="D73" s="511">
        <f t="shared" si="62"/>
        <v>0</v>
      </c>
      <c r="E73" s="510"/>
      <c r="F73" s="511">
        <f>E73*D73/100</f>
        <v>0</v>
      </c>
      <c r="G73" s="511"/>
      <c r="H73" s="511"/>
      <c r="I73" s="511"/>
      <c r="J73" s="610"/>
      <c r="K73" s="511">
        <f>J73*F73/100</f>
        <v>0</v>
      </c>
      <c r="L73" s="610"/>
      <c r="M73" s="511">
        <f t="shared" si="63"/>
        <v>0</v>
      </c>
      <c r="N73" s="510">
        <f>C73+E73+J73+L73</f>
        <v>0</v>
      </c>
      <c r="O73" s="632">
        <f t="shared" si="61"/>
        <v>0</v>
      </c>
      <c r="V73" s="516">
        <v>12431</v>
      </c>
      <c r="W73" s="516">
        <v>3763</v>
      </c>
      <c r="X73" s="517">
        <v>3430</v>
      </c>
      <c r="Y73" s="518">
        <f>X73/W73*100</f>
        <v>91.150677650810522</v>
      </c>
      <c r="Z73" s="518">
        <f>9475-7</f>
        <v>9468</v>
      </c>
      <c r="AA73" s="519">
        <f>10980-7</f>
        <v>10973</v>
      </c>
      <c r="AB73" s="519">
        <v>2955</v>
      </c>
      <c r="AC73" s="519">
        <v>2506</v>
      </c>
      <c r="AD73" s="519">
        <f>AC73/AB73*100</f>
        <v>84.805414551607456</v>
      </c>
      <c r="AE73" s="519">
        <f>Z73+AB42</f>
        <v>9934</v>
      </c>
      <c r="AF73" s="519">
        <f>AA73+AC42</f>
        <v>11411</v>
      </c>
      <c r="AG73" s="520" t="e">
        <f>AF73/#REF!*100</f>
        <v>#REF!</v>
      </c>
    </row>
    <row r="74" spans="1:33">
      <c r="A74" s="610"/>
      <c r="B74" s="610"/>
      <c r="C74" s="610"/>
      <c r="D74" s="610"/>
      <c r="E74" s="610"/>
      <c r="F74" s="610"/>
      <c r="G74" s="610"/>
      <c r="H74" s="610"/>
      <c r="I74" s="610"/>
      <c r="J74" s="610"/>
      <c r="K74" s="610"/>
      <c r="L74" s="610"/>
      <c r="M74" s="610"/>
      <c r="N74" s="510"/>
      <c r="O74" s="610"/>
    </row>
    <row r="75" spans="1:33">
      <c r="A75" s="610" t="s">
        <v>648</v>
      </c>
      <c r="B75" s="611">
        <v>322665784.31520021</v>
      </c>
      <c r="C75" s="510">
        <v>0</v>
      </c>
      <c r="D75" s="511">
        <f>C75*B75/100</f>
        <v>0</v>
      </c>
      <c r="E75" s="510">
        <v>0</v>
      </c>
      <c r="F75" s="511">
        <f>E75*D75/100</f>
        <v>0</v>
      </c>
      <c r="G75" s="511"/>
      <c r="H75" s="511"/>
      <c r="I75" s="511"/>
      <c r="J75" s="610"/>
      <c r="K75" s="511">
        <f>J75*F75/100</f>
        <v>0</v>
      </c>
      <c r="L75" s="610"/>
      <c r="M75" s="511">
        <f>L75*K75/100</f>
        <v>0</v>
      </c>
      <c r="N75" s="510">
        <f>C75+E75+J75+L75</f>
        <v>0</v>
      </c>
      <c r="O75" s="632">
        <f t="shared" ref="O75:O77" si="64">N75*100</f>
        <v>0</v>
      </c>
    </row>
    <row r="76" spans="1:33">
      <c r="A76" s="610" t="s">
        <v>969</v>
      </c>
      <c r="B76" s="611"/>
      <c r="C76" s="510"/>
      <c r="D76" s="511">
        <f t="shared" ref="D76:D77" si="65">C76*B76/100</f>
        <v>0</v>
      </c>
      <c r="E76" s="510"/>
      <c r="F76" s="511">
        <f>E76*D76/100</f>
        <v>0</v>
      </c>
      <c r="G76" s="511"/>
      <c r="H76" s="511"/>
      <c r="I76" s="511"/>
      <c r="J76" s="610"/>
      <c r="K76" s="511">
        <f>J76*F76/100</f>
        <v>0</v>
      </c>
      <c r="L76" s="610"/>
      <c r="M76" s="511">
        <f t="shared" ref="M76:M77" si="66">L76*K76/100</f>
        <v>0</v>
      </c>
      <c r="N76" s="510">
        <f>C76+E76+J76+L76</f>
        <v>0</v>
      </c>
      <c r="O76" s="632">
        <f t="shared" si="64"/>
        <v>0</v>
      </c>
    </row>
    <row r="77" spans="1:33">
      <c r="A77" s="610" t="s">
        <v>970</v>
      </c>
      <c r="B77" s="611"/>
      <c r="C77" s="510"/>
      <c r="D77" s="511">
        <f t="shared" si="65"/>
        <v>0</v>
      </c>
      <c r="E77" s="510"/>
      <c r="F77" s="511">
        <f>E77*D77/100</f>
        <v>0</v>
      </c>
      <c r="G77" s="511"/>
      <c r="H77" s="511"/>
      <c r="I77" s="511"/>
      <c r="J77" s="610"/>
      <c r="K77" s="511">
        <f>J77*F77/100</f>
        <v>0</v>
      </c>
      <c r="L77" s="610"/>
      <c r="M77" s="511">
        <f t="shared" si="66"/>
        <v>0</v>
      </c>
      <c r="N77" s="510">
        <f>C77+E77+J77+L77</f>
        <v>0</v>
      </c>
      <c r="O77" s="632">
        <f t="shared" si="64"/>
        <v>0</v>
      </c>
    </row>
    <row r="78" spans="1:33">
      <c r="A78" s="610"/>
      <c r="B78" s="610"/>
      <c r="C78" s="610"/>
      <c r="D78" s="610"/>
      <c r="E78" s="610"/>
      <c r="F78" s="610"/>
      <c r="G78" s="610"/>
      <c r="H78" s="610"/>
      <c r="I78" s="610"/>
      <c r="J78" s="610"/>
      <c r="K78" s="610"/>
      <c r="L78" s="610"/>
      <c r="M78" s="610"/>
      <c r="N78" s="510"/>
      <c r="O78" s="610"/>
    </row>
    <row r="79" spans="1:33">
      <c r="A79" s="610" t="s">
        <v>649</v>
      </c>
      <c r="B79" s="611">
        <v>119838668.808</v>
      </c>
      <c r="C79" s="510">
        <v>0</v>
      </c>
      <c r="D79" s="511">
        <f>C79*B79/100</f>
        <v>0</v>
      </c>
      <c r="E79" s="510">
        <v>0</v>
      </c>
      <c r="F79" s="511">
        <f>E79*D79/100</f>
        <v>0</v>
      </c>
      <c r="G79" s="511"/>
      <c r="H79" s="511"/>
      <c r="I79" s="511"/>
      <c r="J79" s="610"/>
      <c r="K79" s="511">
        <f>J79*F79/100</f>
        <v>0</v>
      </c>
      <c r="L79" s="610"/>
      <c r="M79" s="511">
        <f>L79*K79/100</f>
        <v>0</v>
      </c>
      <c r="N79" s="510">
        <f>C79+E79+J79+L79</f>
        <v>0</v>
      </c>
      <c r="O79" s="632">
        <f t="shared" ref="O79:O81" si="67">N79*100</f>
        <v>0</v>
      </c>
    </row>
    <row r="80" spans="1:33">
      <c r="A80" s="610" t="s">
        <v>969</v>
      </c>
      <c r="B80" s="611"/>
      <c r="C80" s="510"/>
      <c r="D80" s="511">
        <f t="shared" ref="D80:D89" si="68">C80*B80/100</f>
        <v>0</v>
      </c>
      <c r="E80" s="510"/>
      <c r="F80" s="511">
        <f>E80*D80/100</f>
        <v>0</v>
      </c>
      <c r="G80" s="511"/>
      <c r="H80" s="511"/>
      <c r="I80" s="511"/>
      <c r="J80" s="610"/>
      <c r="K80" s="511">
        <f>J80*F80/100</f>
        <v>0</v>
      </c>
      <c r="L80" s="610"/>
      <c r="M80" s="511">
        <f t="shared" ref="M80:M81" si="69">L80*K80/100</f>
        <v>0</v>
      </c>
      <c r="N80" s="510">
        <f>C80+E80+J80+L80</f>
        <v>0</v>
      </c>
      <c r="O80" s="632">
        <f t="shared" si="67"/>
        <v>0</v>
      </c>
    </row>
    <row r="81" spans="1:15">
      <c r="A81" s="610" t="s">
        <v>970</v>
      </c>
      <c r="B81" s="611"/>
      <c r="C81" s="510"/>
      <c r="D81" s="511">
        <f t="shared" si="68"/>
        <v>0</v>
      </c>
      <c r="E81" s="510"/>
      <c r="F81" s="511">
        <f>E81*D81/100</f>
        <v>0</v>
      </c>
      <c r="G81" s="511"/>
      <c r="H81" s="511"/>
      <c r="I81" s="511"/>
      <c r="J81" s="610"/>
      <c r="K81" s="511">
        <f>J81*F81/100</f>
        <v>0</v>
      </c>
      <c r="L81" s="610"/>
      <c r="M81" s="511">
        <f t="shared" si="69"/>
        <v>0</v>
      </c>
      <c r="N81" s="510">
        <f>C81+E81+J81+L81</f>
        <v>0</v>
      </c>
      <c r="O81" s="632">
        <f t="shared" si="67"/>
        <v>0</v>
      </c>
    </row>
    <row r="82" spans="1:15">
      <c r="A82" s="610"/>
      <c r="B82" s="610"/>
      <c r="C82" s="610"/>
      <c r="D82" s="610"/>
      <c r="E82" s="610"/>
      <c r="F82" s="610"/>
      <c r="G82" s="610"/>
      <c r="H82" s="610"/>
      <c r="I82" s="610"/>
      <c r="J82" s="610"/>
      <c r="K82" s="610"/>
      <c r="L82" s="610"/>
      <c r="M82" s="610"/>
      <c r="N82" s="510"/>
      <c r="O82" s="610"/>
    </row>
    <row r="83" spans="1:15">
      <c r="A83" s="610" t="s">
        <v>650</v>
      </c>
      <c r="B83" s="611">
        <v>636777246</v>
      </c>
      <c r="C83" s="510">
        <v>0</v>
      </c>
      <c r="D83" s="511">
        <f t="shared" si="68"/>
        <v>0</v>
      </c>
      <c r="E83" s="510">
        <v>0</v>
      </c>
      <c r="F83" s="511">
        <f>E83*D83/100</f>
        <v>0</v>
      </c>
      <c r="G83" s="511"/>
      <c r="H83" s="511"/>
      <c r="I83" s="511"/>
      <c r="J83" s="610"/>
      <c r="K83" s="511">
        <f>J83*F83/100</f>
        <v>0</v>
      </c>
      <c r="L83" s="610"/>
      <c r="M83" s="511">
        <f>L83*K83/100</f>
        <v>0</v>
      </c>
      <c r="N83" s="510">
        <f>C83+E83+J83+L83</f>
        <v>0</v>
      </c>
      <c r="O83" s="632">
        <f t="shared" ref="O83:O84" si="70">N83*100</f>
        <v>0</v>
      </c>
    </row>
    <row r="84" spans="1:15">
      <c r="A84" s="610" t="s">
        <v>969</v>
      </c>
      <c r="B84" s="611"/>
      <c r="C84" s="510"/>
      <c r="D84" s="511">
        <f t="shared" si="68"/>
        <v>0</v>
      </c>
      <c r="E84" s="510"/>
      <c r="F84" s="511">
        <f>E84*D84/100</f>
        <v>0</v>
      </c>
      <c r="G84" s="511"/>
      <c r="H84" s="511"/>
      <c r="I84" s="511"/>
      <c r="J84" s="610"/>
      <c r="K84" s="511">
        <f>J84*F84/100</f>
        <v>0</v>
      </c>
      <c r="L84" s="610"/>
      <c r="M84" s="511">
        <f>L84*K84/100</f>
        <v>0</v>
      </c>
      <c r="N84" s="510">
        <f>C84+E84+J84+L84</f>
        <v>0</v>
      </c>
      <c r="O84" s="632">
        <f t="shared" si="70"/>
        <v>0</v>
      </c>
    </row>
    <row r="85" spans="1:15">
      <c r="A85" s="610"/>
      <c r="B85" s="610"/>
      <c r="C85" s="610"/>
      <c r="D85" s="610"/>
      <c r="E85" s="610"/>
      <c r="F85" s="610"/>
      <c r="G85" s="610"/>
      <c r="H85" s="610"/>
      <c r="I85" s="610"/>
      <c r="J85" s="610"/>
      <c r="K85" s="610"/>
      <c r="L85" s="610"/>
      <c r="M85" s="610"/>
      <c r="N85" s="510"/>
      <c r="O85" s="610"/>
    </row>
    <row r="86" spans="1:15">
      <c r="A86" s="610" t="s">
        <v>651</v>
      </c>
      <c r="B86" s="611">
        <v>2100195606.0671997</v>
      </c>
      <c r="C86" s="510">
        <v>0</v>
      </c>
      <c r="D86" s="511">
        <f t="shared" si="68"/>
        <v>0</v>
      </c>
      <c r="E86" s="510">
        <v>0</v>
      </c>
      <c r="F86" s="511">
        <f>E86*D86/100</f>
        <v>0</v>
      </c>
      <c r="G86" s="511"/>
      <c r="H86" s="511"/>
      <c r="I86" s="511"/>
      <c r="J86" s="610"/>
      <c r="K86" s="511">
        <f>J86*F86/100</f>
        <v>0</v>
      </c>
      <c r="L86" s="610"/>
      <c r="M86" s="511">
        <f>L86*K86/100</f>
        <v>0</v>
      </c>
      <c r="N86" s="510">
        <f>C86+E86+J86+L86</f>
        <v>0</v>
      </c>
      <c r="O86" s="632">
        <f t="shared" ref="O86:O89" si="71">N86*100</f>
        <v>0</v>
      </c>
    </row>
    <row r="87" spans="1:15">
      <c r="A87" s="610" t="s">
        <v>969</v>
      </c>
      <c r="B87" s="611"/>
      <c r="C87" s="510"/>
      <c r="D87" s="511">
        <f t="shared" si="68"/>
        <v>0</v>
      </c>
      <c r="E87" s="510"/>
      <c r="F87" s="511">
        <f>E87*D87/100</f>
        <v>0</v>
      </c>
      <c r="G87" s="511"/>
      <c r="H87" s="511"/>
      <c r="I87" s="511"/>
      <c r="J87" s="610"/>
      <c r="K87" s="511">
        <f>J87*F87/100</f>
        <v>0</v>
      </c>
      <c r="L87" s="610"/>
      <c r="M87" s="511">
        <f t="shared" ref="M87:M89" si="72">L87*K87/100</f>
        <v>0</v>
      </c>
      <c r="N87" s="510">
        <f>C87+E87+J87+L87</f>
        <v>0</v>
      </c>
      <c r="O87" s="632">
        <f t="shared" si="71"/>
        <v>0</v>
      </c>
    </row>
    <row r="88" spans="1:15">
      <c r="A88" s="610" t="s">
        <v>970</v>
      </c>
      <c r="B88" s="611"/>
      <c r="C88" s="510"/>
      <c r="D88" s="511">
        <f t="shared" si="68"/>
        <v>0</v>
      </c>
      <c r="E88" s="510"/>
      <c r="F88" s="511">
        <f>E88*D88/100</f>
        <v>0</v>
      </c>
      <c r="G88" s="511"/>
      <c r="H88" s="511"/>
      <c r="I88" s="511"/>
      <c r="J88" s="610"/>
      <c r="K88" s="511">
        <f>J88*F88/100</f>
        <v>0</v>
      </c>
      <c r="L88" s="610"/>
      <c r="M88" s="511">
        <f t="shared" si="72"/>
        <v>0</v>
      </c>
      <c r="N88" s="510">
        <f>C88+E88+J88+L88</f>
        <v>0</v>
      </c>
      <c r="O88" s="632">
        <f t="shared" si="71"/>
        <v>0</v>
      </c>
    </row>
    <row r="89" spans="1:15">
      <c r="A89" s="610" t="s">
        <v>971</v>
      </c>
      <c r="B89" s="611"/>
      <c r="C89" s="510"/>
      <c r="D89" s="511">
        <f t="shared" si="68"/>
        <v>0</v>
      </c>
      <c r="E89" s="510"/>
      <c r="F89" s="511">
        <f>E89*D89/100</f>
        <v>0</v>
      </c>
      <c r="G89" s="511"/>
      <c r="H89" s="511"/>
      <c r="I89" s="511"/>
      <c r="J89" s="610"/>
      <c r="K89" s="511">
        <f>J89*F89/100</f>
        <v>0</v>
      </c>
      <c r="L89" s="610"/>
      <c r="M89" s="511">
        <f t="shared" si="72"/>
        <v>0</v>
      </c>
      <c r="N89" s="510">
        <f>C89+E89+J89+L89</f>
        <v>0</v>
      </c>
      <c r="O89" s="632">
        <f t="shared" si="71"/>
        <v>0</v>
      </c>
    </row>
    <row r="90" spans="1:15">
      <c r="A90" s="610"/>
      <c r="B90" s="610"/>
      <c r="C90" s="610"/>
      <c r="D90" s="610"/>
      <c r="E90" s="610"/>
      <c r="F90" s="610"/>
      <c r="G90" s="610"/>
      <c r="H90" s="610"/>
      <c r="I90" s="610"/>
      <c r="J90" s="610"/>
      <c r="K90" s="610"/>
      <c r="L90" s="610"/>
      <c r="M90" s="610"/>
      <c r="N90" s="610"/>
      <c r="O90" s="610"/>
    </row>
    <row r="91" spans="1:15">
      <c r="A91" s="531" t="s">
        <v>654</v>
      </c>
      <c r="B91" s="532" t="e">
        <f>B86+B83+B79+B75+B69+#REF!+B63+B58</f>
        <v>#REF!</v>
      </c>
      <c r="C91" s="532" t="e">
        <f>C86+C83+C79+C75+C69+#REF!+C63+C58</f>
        <v>#REF!</v>
      </c>
      <c r="D91" s="532">
        <f>SUM(D58:D86)</f>
        <v>0</v>
      </c>
      <c r="E91" s="532" t="e">
        <f>E86+E83+E79+E75+E69+#REF!+E63+E58</f>
        <v>#REF!</v>
      </c>
      <c r="F91" s="532">
        <f>SUM(F58:F86)</f>
        <v>0</v>
      </c>
      <c r="G91" s="532"/>
      <c r="H91" s="532"/>
      <c r="I91" s="532"/>
      <c r="J91" s="532" t="e">
        <f>J86+J83+J79+J75+J69+#REF!+J63+J58</f>
        <v>#REF!</v>
      </c>
      <c r="K91" s="532">
        <f t="shared" ref="K91:O91" si="73">SUM(K58:K86)</f>
        <v>0</v>
      </c>
      <c r="L91" s="532" t="e">
        <f>L86+L83+L79+L75+L69+#REF!+L63+L58</f>
        <v>#REF!</v>
      </c>
      <c r="M91" s="532">
        <f t="shared" si="73"/>
        <v>0</v>
      </c>
      <c r="N91" s="532" t="e">
        <f>N86+N83+N79+N75+N69+#REF!+N63+N58</f>
        <v>#REF!</v>
      </c>
      <c r="O91" s="532">
        <f t="shared" si="73"/>
        <v>0</v>
      </c>
    </row>
    <row r="101" spans="1:11">
      <c r="A101" s="922" t="s">
        <v>671</v>
      </c>
      <c r="B101" s="922" t="s">
        <v>680</v>
      </c>
      <c r="C101" s="922" t="s">
        <v>665</v>
      </c>
      <c r="D101" s="922"/>
      <c r="E101" s="922" t="s">
        <v>666</v>
      </c>
      <c r="F101" s="922" t="s">
        <v>667</v>
      </c>
      <c r="G101" s="533"/>
      <c r="H101" s="533"/>
      <c r="I101" s="533"/>
      <c r="J101" s="922" t="s">
        <v>668</v>
      </c>
      <c r="K101" s="923" t="s">
        <v>681</v>
      </c>
    </row>
    <row r="102" spans="1:11" ht="35.25" customHeight="1">
      <c r="A102" s="922"/>
      <c r="B102" s="922"/>
      <c r="C102" s="533" t="s">
        <v>669</v>
      </c>
      <c r="D102" s="533" t="s">
        <v>670</v>
      </c>
      <c r="E102" s="922"/>
      <c r="F102" s="922"/>
      <c r="G102" s="533"/>
      <c r="H102" s="533"/>
      <c r="I102" s="533"/>
      <c r="J102" s="922"/>
      <c r="K102" s="924"/>
    </row>
    <row r="103" spans="1:11" ht="42.75">
      <c r="A103" s="534" t="s">
        <v>672</v>
      </c>
      <c r="B103" s="535">
        <v>52</v>
      </c>
      <c r="C103" s="535">
        <v>21</v>
      </c>
      <c r="D103" s="535">
        <v>25</v>
      </c>
      <c r="E103" s="536">
        <v>0.40384615384615385</v>
      </c>
      <c r="F103" s="534"/>
      <c r="G103" s="534"/>
      <c r="H103" s="534"/>
      <c r="I103" s="534"/>
      <c r="J103" s="534"/>
      <c r="K103" s="534"/>
    </row>
    <row r="104" spans="1:11" ht="42.75">
      <c r="A104" s="534" t="s">
        <v>679</v>
      </c>
      <c r="B104" s="534"/>
      <c r="C104" s="534"/>
      <c r="D104" s="534"/>
      <c r="E104" s="534"/>
      <c r="F104" s="534"/>
      <c r="G104" s="534"/>
      <c r="H104" s="534"/>
      <c r="I104" s="534"/>
      <c r="J104" s="534"/>
      <c r="K104" s="534"/>
    </row>
    <row r="105" spans="1:11" ht="42.75">
      <c r="A105" s="534" t="s">
        <v>678</v>
      </c>
      <c r="B105" s="534"/>
      <c r="C105" s="534"/>
      <c r="D105" s="534"/>
      <c r="E105" s="534"/>
      <c r="F105" s="534"/>
      <c r="G105" s="534"/>
      <c r="H105" s="534"/>
      <c r="I105" s="534"/>
      <c r="J105" s="534"/>
      <c r="K105" s="534"/>
    </row>
    <row r="106" spans="1:11" ht="28.5">
      <c r="A106" s="534" t="s">
        <v>677</v>
      </c>
      <c r="B106" s="534"/>
      <c r="C106" s="534"/>
      <c r="D106" s="534"/>
      <c r="E106" s="534"/>
      <c r="F106" s="534"/>
      <c r="G106" s="534"/>
      <c r="H106" s="534"/>
      <c r="I106" s="534"/>
      <c r="J106" s="534"/>
      <c r="K106" s="534"/>
    </row>
    <row r="107" spans="1:11" ht="42.75">
      <c r="A107" s="534" t="s">
        <v>676</v>
      </c>
      <c r="B107" s="534"/>
      <c r="C107" s="534"/>
      <c r="D107" s="534"/>
      <c r="E107" s="534"/>
      <c r="F107" s="534"/>
      <c r="G107" s="534"/>
      <c r="H107" s="534"/>
      <c r="I107" s="534"/>
      <c r="J107" s="534"/>
      <c r="K107" s="534"/>
    </row>
    <row r="108" spans="1:11" ht="42.75">
      <c r="A108" s="534" t="s">
        <v>675</v>
      </c>
      <c r="B108" s="534"/>
      <c r="C108" s="534"/>
      <c r="D108" s="534"/>
      <c r="E108" s="534"/>
      <c r="F108" s="534"/>
      <c r="G108" s="534"/>
      <c r="H108" s="534"/>
      <c r="I108" s="534"/>
      <c r="J108" s="534"/>
      <c r="K108" s="534"/>
    </row>
    <row r="109" spans="1:11" ht="42.75">
      <c r="A109" s="534" t="s">
        <v>674</v>
      </c>
      <c r="B109" s="534"/>
      <c r="C109" s="534"/>
      <c r="D109" s="534"/>
      <c r="E109" s="534"/>
      <c r="F109" s="534"/>
      <c r="G109" s="534"/>
      <c r="H109" s="534"/>
      <c r="I109" s="534"/>
      <c r="J109" s="534"/>
      <c r="K109" s="534"/>
    </row>
    <row r="110" spans="1:11" ht="57">
      <c r="A110" s="534" t="s">
        <v>673</v>
      </c>
      <c r="B110" s="534"/>
      <c r="C110" s="534"/>
      <c r="D110" s="534"/>
      <c r="E110" s="534"/>
      <c r="F110" s="534"/>
      <c r="G110" s="534"/>
      <c r="H110" s="534"/>
      <c r="I110" s="534"/>
      <c r="J110" s="534"/>
      <c r="K110" s="534"/>
    </row>
  </sheetData>
  <mergeCells count="72">
    <mergeCell ref="A101:A102"/>
    <mergeCell ref="B101:B102"/>
    <mergeCell ref="C101:D101"/>
    <mergeCell ref="E101:E102"/>
    <mergeCell ref="F101:F102"/>
    <mergeCell ref="AP4:AP6"/>
    <mergeCell ref="A55:O55"/>
    <mergeCell ref="A56:A57"/>
    <mergeCell ref="B56:B57"/>
    <mergeCell ref="C56:C57"/>
    <mergeCell ref="D56:D57"/>
    <mergeCell ref="E56:E57"/>
    <mergeCell ref="F56:F57"/>
    <mergeCell ref="J56:J57"/>
    <mergeCell ref="K56:K57"/>
    <mergeCell ref="L56:L57"/>
    <mergeCell ref="M56:M57"/>
    <mergeCell ref="N56:N57"/>
    <mergeCell ref="O56:O57"/>
    <mergeCell ref="Q5:Q6"/>
    <mergeCell ref="U5:U6"/>
    <mergeCell ref="A2:AO3"/>
    <mergeCell ref="AL4:AL6"/>
    <mergeCell ref="AM4:AM6"/>
    <mergeCell ref="AN4:AN6"/>
    <mergeCell ref="AO4:AO6"/>
    <mergeCell ref="AE5:AE6"/>
    <mergeCell ref="AF5:AF6"/>
    <mergeCell ref="AG5:AG6"/>
    <mergeCell ref="AH5:AH6"/>
    <mergeCell ref="Y5:Y6"/>
    <mergeCell ref="Z5:Z6"/>
    <mergeCell ref="AA5:AA6"/>
    <mergeCell ref="AB5:AB6"/>
    <mergeCell ref="AC5:AC6"/>
    <mergeCell ref="AD5:AD6"/>
    <mergeCell ref="P5:P6"/>
    <mergeCell ref="V59:W59"/>
    <mergeCell ref="X59:Y59"/>
    <mergeCell ref="V66:Y66"/>
    <mergeCell ref="W70:X70"/>
    <mergeCell ref="J101:J102"/>
    <mergeCell ref="K101:K102"/>
    <mergeCell ref="G38:G40"/>
    <mergeCell ref="A4:J4"/>
    <mergeCell ref="K4:Q4"/>
    <mergeCell ref="R4:R6"/>
    <mergeCell ref="S4:S6"/>
    <mergeCell ref="E5:E6"/>
    <mergeCell ref="F5:F6"/>
    <mergeCell ref="G5:G6"/>
    <mergeCell ref="H5:H6"/>
    <mergeCell ref="I5:I6"/>
    <mergeCell ref="J5:J6"/>
    <mergeCell ref="K5:K6"/>
    <mergeCell ref="L5:L6"/>
    <mergeCell ref="M5:M6"/>
    <mergeCell ref="N5:N6"/>
    <mergeCell ref="O5:O6"/>
    <mergeCell ref="AB4:AH4"/>
    <mergeCell ref="AI4:AI6"/>
    <mergeCell ref="AJ4:AJ6"/>
    <mergeCell ref="AK4:AK6"/>
    <mergeCell ref="A5:A6"/>
    <mergeCell ref="B5:B6"/>
    <mergeCell ref="C5:C6"/>
    <mergeCell ref="D5:D6"/>
    <mergeCell ref="V5:V6"/>
    <mergeCell ref="W5:W6"/>
    <mergeCell ref="X5:X6"/>
    <mergeCell ref="T4:T6"/>
    <mergeCell ref="U4:AA4"/>
  </mergeCells>
  <pageMargins left="0.7" right="0.7" top="0.75" bottom="0.75" header="0.3" footer="0.3"/>
  <pageSetup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4B7E7-2E5B-4620-8FA0-0D377EC9EBC4}">
  <dimension ref="A2:U23"/>
  <sheetViews>
    <sheetView topLeftCell="A25" workbookViewId="0">
      <selection activeCell="D9" sqref="D9:D10"/>
    </sheetView>
  </sheetViews>
  <sheetFormatPr baseColWidth="10" defaultRowHeight="15"/>
  <cols>
    <col min="1" max="1" width="44.85546875" customWidth="1"/>
    <col min="2" max="2" width="55.5703125" customWidth="1"/>
    <col min="3" max="3" width="24.5703125" customWidth="1"/>
    <col min="4" max="4" width="27" customWidth="1"/>
    <col min="5" max="5" width="22.5703125" customWidth="1"/>
    <col min="6" max="6" width="20.140625" customWidth="1"/>
    <col min="7" max="7" width="18.7109375" customWidth="1"/>
    <col min="8" max="8" width="23.140625" customWidth="1"/>
  </cols>
  <sheetData>
    <row r="2" spans="1:8">
      <c r="A2" s="934" t="s">
        <v>772</v>
      </c>
      <c r="B2" s="934"/>
      <c r="C2" s="934"/>
      <c r="D2" s="934"/>
      <c r="E2" s="934"/>
      <c r="F2" s="934"/>
      <c r="G2" s="934"/>
      <c r="H2" s="934"/>
    </row>
    <row r="3" spans="1:8" ht="45">
      <c r="A3" s="273" t="s">
        <v>773</v>
      </c>
      <c r="B3" s="273" t="s">
        <v>774</v>
      </c>
      <c r="C3" s="273" t="s">
        <v>775</v>
      </c>
      <c r="D3" s="273" t="s">
        <v>776</v>
      </c>
      <c r="E3" s="262" t="s">
        <v>777</v>
      </c>
      <c r="F3" s="262" t="s">
        <v>778</v>
      </c>
      <c r="G3" s="262" t="s">
        <v>941</v>
      </c>
      <c r="H3" s="262" t="s">
        <v>942</v>
      </c>
    </row>
    <row r="4" spans="1:8">
      <c r="A4" s="935" t="s">
        <v>49</v>
      </c>
      <c r="B4" s="434" t="s">
        <v>219</v>
      </c>
      <c r="C4" s="621">
        <v>648375074</v>
      </c>
      <c r="D4" s="938">
        <f>C4+C5+C6</f>
        <v>876375074</v>
      </c>
      <c r="E4" s="438">
        <f>C4/D4*100</f>
        <v>73.983742034178391</v>
      </c>
      <c r="F4" s="939">
        <f>D4/C23*100</f>
        <v>0.56829669716346631</v>
      </c>
      <c r="G4" s="509"/>
      <c r="H4" s="509"/>
    </row>
    <row r="5" spans="1:8" ht="29.25">
      <c r="A5" s="936"/>
      <c r="B5" s="434" t="s">
        <v>324</v>
      </c>
      <c r="C5" s="621">
        <v>114000000</v>
      </c>
      <c r="D5" s="938"/>
      <c r="E5" s="438">
        <f>C5/D4*100</f>
        <v>13.008128982910803</v>
      </c>
      <c r="F5" s="940"/>
      <c r="G5" s="509"/>
      <c r="H5" s="509"/>
    </row>
    <row r="6" spans="1:8" ht="29.25">
      <c r="A6" s="937"/>
      <c r="B6" s="434" t="s">
        <v>220</v>
      </c>
      <c r="C6" s="621">
        <v>114000000</v>
      </c>
      <c r="D6" s="938"/>
      <c r="E6" s="438">
        <f>C6/D4*100</f>
        <v>13.008128982910803</v>
      </c>
      <c r="F6" s="941"/>
      <c r="G6" s="509"/>
      <c r="H6" s="509"/>
    </row>
    <row r="7" spans="1:8" ht="28.5">
      <c r="A7" s="935" t="s">
        <v>74</v>
      </c>
      <c r="B7" s="433" t="s">
        <v>221</v>
      </c>
      <c r="C7" s="621">
        <v>3136460946</v>
      </c>
      <c r="D7" s="942">
        <f>C7+C8</f>
        <v>59599968609</v>
      </c>
      <c r="E7" s="438">
        <f>C7/D7*100</f>
        <v>5.2625211375134402</v>
      </c>
      <c r="F7" s="944">
        <f>D7/C23*100</f>
        <v>38.648366796818515</v>
      </c>
      <c r="G7" s="509"/>
      <c r="H7" s="509"/>
    </row>
    <row r="8" spans="1:8" ht="28.5">
      <c r="A8" s="937"/>
      <c r="B8" s="433" t="s">
        <v>780</v>
      </c>
      <c r="C8" s="621">
        <v>56463507663</v>
      </c>
      <c r="D8" s="943"/>
      <c r="E8" s="438">
        <f>C8/D7*100</f>
        <v>94.737478862486554</v>
      </c>
      <c r="F8" s="945"/>
      <c r="G8" s="509"/>
      <c r="H8" s="509"/>
    </row>
    <row r="9" spans="1:8" ht="43.5">
      <c r="A9" s="935" t="s">
        <v>132</v>
      </c>
      <c r="B9" s="434" t="s">
        <v>223</v>
      </c>
      <c r="C9" s="621">
        <f>72570547694+2777145000+335796722</f>
        <v>75683489416</v>
      </c>
      <c r="D9" s="942">
        <f>C9+C10</f>
        <v>86291752748</v>
      </c>
      <c r="E9" s="438">
        <f>C9/D9*100</f>
        <v>87.706515403645142</v>
      </c>
      <c r="F9" s="944">
        <f>D9/C23*100</f>
        <v>55.956997790120703</v>
      </c>
      <c r="G9" s="509"/>
      <c r="H9" s="509"/>
    </row>
    <row r="10" spans="1:8" ht="57.75">
      <c r="A10" s="937"/>
      <c r="B10" s="434" t="s">
        <v>781</v>
      </c>
      <c r="C10" s="621">
        <v>10608263332</v>
      </c>
      <c r="D10" s="943"/>
      <c r="E10" s="438">
        <f>C10/D9*100</f>
        <v>12.293484596354858</v>
      </c>
      <c r="F10" s="945"/>
      <c r="G10" s="509"/>
      <c r="H10" s="509"/>
    </row>
    <row r="11" spans="1:8" ht="29.25">
      <c r="A11" s="946" t="s">
        <v>610</v>
      </c>
      <c r="B11" s="434" t="s">
        <v>192</v>
      </c>
      <c r="C11" s="623">
        <v>0</v>
      </c>
      <c r="D11" s="942">
        <f>C11+C12+C13+C14</f>
        <v>4099902821</v>
      </c>
      <c r="E11" s="260">
        <v>0</v>
      </c>
      <c r="F11" s="944">
        <f>D11/C23*100</f>
        <v>2.6586347569550774</v>
      </c>
      <c r="G11" s="509"/>
      <c r="H11" s="509"/>
    </row>
    <row r="12" spans="1:8">
      <c r="A12" s="947"/>
      <c r="B12" s="437" t="s">
        <v>782</v>
      </c>
      <c r="C12" s="621">
        <v>262068277</v>
      </c>
      <c r="D12" s="949"/>
      <c r="E12" s="438">
        <f>C12/D11*100</f>
        <v>6.3920607009919177</v>
      </c>
      <c r="F12" s="950"/>
      <c r="G12" s="509"/>
      <c r="H12" s="509"/>
    </row>
    <row r="13" spans="1:8">
      <c r="A13" s="947"/>
      <c r="B13" s="434" t="s">
        <v>783</v>
      </c>
      <c r="C13" s="621">
        <v>295834544</v>
      </c>
      <c r="D13" s="949"/>
      <c r="E13" s="438">
        <f>C13/D11*100</f>
        <v>7.2156477096167739</v>
      </c>
      <c r="F13" s="950"/>
      <c r="G13" s="509"/>
      <c r="H13" s="509"/>
    </row>
    <row r="14" spans="1:8" ht="29.25">
      <c r="A14" s="948"/>
      <c r="B14" s="434" t="s">
        <v>784</v>
      </c>
      <c r="C14" s="621">
        <v>3542000000</v>
      </c>
      <c r="D14" s="943"/>
      <c r="E14" s="438">
        <f>C14/D11*100</f>
        <v>86.392291589391306</v>
      </c>
      <c r="F14" s="945"/>
      <c r="G14" s="509"/>
      <c r="H14" s="509"/>
    </row>
    <row r="15" spans="1:8" ht="29.25">
      <c r="A15" s="935" t="s">
        <v>501</v>
      </c>
      <c r="B15" s="434" t="s">
        <v>503</v>
      </c>
      <c r="C15" s="621">
        <v>184000000</v>
      </c>
      <c r="D15" s="942">
        <f>C15+C16</f>
        <v>425717734</v>
      </c>
      <c r="E15" s="438">
        <f>C15/D15*100</f>
        <v>43.221126418943122</v>
      </c>
      <c r="F15" s="944">
        <f>D15/C23*100</f>
        <v>0.2760621443189461</v>
      </c>
      <c r="G15" s="509"/>
      <c r="H15" s="509"/>
    </row>
    <row r="16" spans="1:8" ht="28.5" customHeight="1">
      <c r="A16" s="937"/>
      <c r="B16" s="437" t="s">
        <v>236</v>
      </c>
      <c r="C16" s="621">
        <v>241717734</v>
      </c>
      <c r="D16" s="943"/>
      <c r="E16" s="438">
        <f>C16/D15*100</f>
        <v>56.778873581056878</v>
      </c>
      <c r="F16" s="945"/>
      <c r="G16" s="509"/>
      <c r="H16" s="509"/>
    </row>
    <row r="17" spans="1:21" ht="29.25">
      <c r="A17" s="935" t="s">
        <v>615</v>
      </c>
      <c r="B17" s="434" t="s">
        <v>253</v>
      </c>
      <c r="C17" s="621">
        <v>252052566</v>
      </c>
      <c r="D17" s="942">
        <f>C17+C18</f>
        <v>252052566</v>
      </c>
      <c r="E17" s="260">
        <f>C17/D17*100</f>
        <v>100</v>
      </c>
      <c r="F17" s="944">
        <f>D17/C23*100</f>
        <v>0.16344673076516164</v>
      </c>
      <c r="G17" s="509"/>
      <c r="H17" s="509"/>
    </row>
    <row r="18" spans="1:21" ht="29.25">
      <c r="A18" s="937"/>
      <c r="B18" s="434" t="s">
        <v>319</v>
      </c>
      <c r="C18" s="621">
        <v>0</v>
      </c>
      <c r="D18" s="943"/>
      <c r="E18" s="260">
        <v>0</v>
      </c>
      <c r="F18" s="945"/>
      <c r="G18" s="509"/>
      <c r="H18" s="509"/>
    </row>
    <row r="19" spans="1:21" ht="30">
      <c r="A19" s="476" t="s">
        <v>788</v>
      </c>
      <c r="B19" s="434" t="s">
        <v>789</v>
      </c>
      <c r="C19" s="621">
        <v>392400000</v>
      </c>
      <c r="D19" s="440">
        <f>C19</f>
        <v>392400000</v>
      </c>
      <c r="E19" s="260">
        <f>D19/C19*100</f>
        <v>100</v>
      </c>
      <c r="F19" s="438">
        <f>D19/C23*100</f>
        <v>0.25445683085110676</v>
      </c>
      <c r="G19" s="509"/>
      <c r="H19" s="509"/>
    </row>
    <row r="20" spans="1:21">
      <c r="A20" s="935" t="s">
        <v>620</v>
      </c>
      <c r="B20" s="441" t="s">
        <v>790</v>
      </c>
      <c r="C20" s="907">
        <v>2272664045</v>
      </c>
      <c r="D20" s="953">
        <f>C20</f>
        <v>2272664045</v>
      </c>
      <c r="E20" s="954">
        <f>C20/D20*100</f>
        <v>100</v>
      </c>
      <c r="F20" s="944">
        <f>D20/C23*100</f>
        <v>1.4737382530070262</v>
      </c>
      <c r="G20" s="509"/>
      <c r="H20" s="509"/>
    </row>
    <row r="21" spans="1:21">
      <c r="A21" s="936"/>
      <c r="B21" s="441" t="s">
        <v>791</v>
      </c>
      <c r="C21" s="908"/>
      <c r="D21" s="949"/>
      <c r="E21" s="949"/>
      <c r="F21" s="950"/>
      <c r="G21" s="509"/>
      <c r="H21" s="509"/>
      <c r="U21" t="s">
        <v>795</v>
      </c>
    </row>
    <row r="22" spans="1:21">
      <c r="A22" s="937"/>
      <c r="B22" s="441" t="s">
        <v>280</v>
      </c>
      <c r="C22" s="909"/>
      <c r="D22" s="943"/>
      <c r="E22" s="943"/>
      <c r="F22" s="945"/>
      <c r="G22" s="509"/>
      <c r="H22" s="509"/>
    </row>
    <row r="23" spans="1:21">
      <c r="A23" s="951" t="s">
        <v>792</v>
      </c>
      <c r="B23" s="952"/>
      <c r="C23" s="442">
        <f>SUM(C4:C22)</f>
        <v>154210833597</v>
      </c>
      <c r="D23" s="442">
        <f>SUM(D4:D22)</f>
        <v>154210833597</v>
      </c>
      <c r="E23" s="443"/>
      <c r="F23" s="443">
        <f>SUM(F4:F22)</f>
        <v>100</v>
      </c>
      <c r="G23" s="509"/>
      <c r="H23" s="509"/>
    </row>
  </sheetData>
  <mergeCells count="25">
    <mergeCell ref="A23:B23"/>
    <mergeCell ref="A15:A16"/>
    <mergeCell ref="D15:D16"/>
    <mergeCell ref="F15:F16"/>
    <mergeCell ref="A17:A18"/>
    <mergeCell ref="D17:D18"/>
    <mergeCell ref="F17:F18"/>
    <mergeCell ref="A20:A22"/>
    <mergeCell ref="C20:C22"/>
    <mergeCell ref="D20:D22"/>
    <mergeCell ref="E20:E22"/>
    <mergeCell ref="F20:F22"/>
    <mergeCell ref="A9:A10"/>
    <mergeCell ref="D9:D10"/>
    <mergeCell ref="F9:F10"/>
    <mergeCell ref="A11:A14"/>
    <mergeCell ref="D11:D14"/>
    <mergeCell ref="F11:F14"/>
    <mergeCell ref="A2:H2"/>
    <mergeCell ref="A4:A6"/>
    <mergeCell ref="D4:D6"/>
    <mergeCell ref="F4:F6"/>
    <mergeCell ref="A7:A8"/>
    <mergeCell ref="D7:D8"/>
    <mergeCell ref="F7:F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68285-2259-4FEC-8C46-99F98EF93994}">
  <dimension ref="A1:R46"/>
  <sheetViews>
    <sheetView workbookViewId="0">
      <selection activeCell="F7" sqref="F7"/>
    </sheetView>
  </sheetViews>
  <sheetFormatPr baseColWidth="10" defaultRowHeight="15"/>
  <cols>
    <col min="1" max="1" width="17.42578125" customWidth="1"/>
    <col min="2" max="2" width="23.28515625" customWidth="1"/>
    <col min="3" max="3" width="15.42578125" customWidth="1"/>
    <col min="4" max="4" width="15.85546875" customWidth="1"/>
    <col min="5" max="5" width="17.140625" customWidth="1"/>
    <col min="6" max="6" width="18.42578125" customWidth="1"/>
    <col min="7" max="7" width="24.140625" hidden="1" customWidth="1"/>
    <col min="8" max="8" width="22.42578125" customWidth="1"/>
    <col min="9" max="9" width="17.5703125" customWidth="1"/>
    <col min="10" max="10" width="17.140625" customWidth="1"/>
    <col min="11" max="11" width="21.5703125" customWidth="1"/>
    <col min="12" max="12" width="16.42578125" customWidth="1"/>
    <col min="13" max="13" width="19.140625" hidden="1" customWidth="1"/>
    <col min="14" max="14" width="16.85546875" hidden="1" customWidth="1"/>
    <col min="15" max="15" width="16.42578125" customWidth="1"/>
    <col min="16" max="16" width="16.85546875" customWidth="1"/>
    <col min="17" max="17" width="16.28515625" customWidth="1"/>
    <col min="18" max="18" width="15.5703125" customWidth="1"/>
  </cols>
  <sheetData>
    <row r="1" spans="1:14" ht="15" customHeight="1">
      <c r="A1" s="956" t="s">
        <v>655</v>
      </c>
      <c r="B1" s="956"/>
      <c r="C1" s="956"/>
      <c r="D1" s="956"/>
      <c r="E1" s="956"/>
      <c r="F1" s="956"/>
      <c r="G1" s="956"/>
      <c r="H1" s="956"/>
      <c r="I1" s="956"/>
      <c r="J1" s="956"/>
      <c r="K1" s="956"/>
      <c r="M1" s="608"/>
      <c r="N1" s="608"/>
    </row>
    <row r="2" spans="1:14" ht="15" customHeight="1">
      <c r="A2" s="956"/>
      <c r="B2" s="956"/>
      <c r="C2" s="956"/>
      <c r="D2" s="956"/>
      <c r="E2" s="956"/>
      <c r="F2" s="956"/>
      <c r="G2" s="956"/>
      <c r="H2" s="956"/>
      <c r="I2" s="956"/>
      <c r="J2" s="956"/>
      <c r="K2" s="956"/>
      <c r="M2" s="608"/>
      <c r="N2" s="608"/>
    </row>
    <row r="3" spans="1:14">
      <c r="A3" s="910" t="s">
        <v>943</v>
      </c>
      <c r="B3" s="910"/>
      <c r="C3" s="910"/>
      <c r="D3" s="910"/>
      <c r="E3" s="911" t="s">
        <v>944</v>
      </c>
      <c r="F3" s="911"/>
      <c r="G3" s="911"/>
      <c r="H3" s="915" t="s">
        <v>948</v>
      </c>
      <c r="I3" s="915"/>
      <c r="J3" s="903" t="s">
        <v>949</v>
      </c>
      <c r="K3" s="903"/>
      <c r="M3" s="609"/>
      <c r="N3" s="609"/>
    </row>
    <row r="4" spans="1:14" ht="15" customHeight="1">
      <c r="A4" s="957" t="s">
        <v>639</v>
      </c>
      <c r="B4" s="958" t="s">
        <v>953</v>
      </c>
      <c r="C4" s="958" t="s">
        <v>954</v>
      </c>
      <c r="D4" s="958" t="s">
        <v>955</v>
      </c>
      <c r="E4" s="959" t="s">
        <v>960</v>
      </c>
      <c r="F4" s="959" t="s">
        <v>961</v>
      </c>
      <c r="G4" s="959" t="s">
        <v>962</v>
      </c>
      <c r="H4" s="960" t="s">
        <v>963</v>
      </c>
      <c r="I4" s="960" t="s">
        <v>964</v>
      </c>
      <c r="J4" s="955" t="s">
        <v>966</v>
      </c>
      <c r="K4" s="955" t="s">
        <v>967</v>
      </c>
    </row>
    <row r="5" spans="1:14" ht="49.5" customHeight="1">
      <c r="A5" s="957"/>
      <c r="B5" s="958"/>
      <c r="C5" s="958"/>
      <c r="D5" s="958"/>
      <c r="E5" s="959"/>
      <c r="F5" s="959"/>
      <c r="G5" s="959"/>
      <c r="H5" s="960"/>
      <c r="I5" s="960"/>
      <c r="J5" s="955"/>
      <c r="K5" s="955"/>
    </row>
    <row r="6" spans="1:14">
      <c r="A6" s="639" t="s">
        <v>644</v>
      </c>
      <c r="B6" s="611"/>
      <c r="C6" s="611"/>
      <c r="D6" s="611"/>
      <c r="E6" s="611"/>
      <c r="F6" s="611"/>
      <c r="G6" s="511"/>
      <c r="H6" s="611"/>
      <c r="I6" s="611"/>
      <c r="J6" s="623"/>
      <c r="K6" s="623"/>
    </row>
    <row r="7" spans="1:14">
      <c r="A7" s="610" t="s">
        <v>969</v>
      </c>
      <c r="B7" s="611"/>
      <c r="C7" s="611"/>
      <c r="D7" s="611"/>
      <c r="E7" s="611"/>
      <c r="F7" s="611"/>
      <c r="G7" s="620"/>
      <c r="H7" s="611"/>
      <c r="I7" s="611"/>
      <c r="J7" s="512"/>
      <c r="K7" s="512"/>
    </row>
    <row r="8" spans="1:14">
      <c r="A8" s="610" t="s">
        <v>970</v>
      </c>
      <c r="B8" s="611"/>
      <c r="C8" s="611"/>
      <c r="D8" s="611"/>
      <c r="E8" s="611"/>
      <c r="F8" s="611"/>
      <c r="G8" s="620"/>
      <c r="H8" s="611"/>
      <c r="I8" s="611"/>
      <c r="J8" s="512"/>
      <c r="K8" s="512"/>
    </row>
    <row r="9" spans="1:14">
      <c r="A9" s="610" t="s">
        <v>971</v>
      </c>
      <c r="B9" s="611"/>
      <c r="C9" s="611"/>
      <c r="D9" s="611"/>
      <c r="E9" s="611"/>
      <c r="F9" s="611"/>
      <c r="G9" s="620"/>
      <c r="H9" s="611"/>
      <c r="I9" s="611"/>
      <c r="J9" s="512"/>
      <c r="K9" s="512"/>
    </row>
    <row r="10" spans="1:14">
      <c r="A10" s="610"/>
      <c r="B10" s="610"/>
      <c r="C10" s="610"/>
      <c r="D10" s="610"/>
      <c r="E10" s="610"/>
      <c r="F10" s="610"/>
      <c r="G10" s="610"/>
      <c r="H10" s="610"/>
      <c r="I10" s="610"/>
      <c r="J10" s="610"/>
      <c r="K10" s="610"/>
    </row>
    <row r="11" spans="1:14">
      <c r="A11" s="639" t="s">
        <v>645</v>
      </c>
      <c r="B11" s="510"/>
      <c r="C11" s="510"/>
      <c r="D11" s="510"/>
      <c r="E11" s="623"/>
      <c r="F11" s="623"/>
      <c r="G11" s="511"/>
      <c r="H11" s="623"/>
      <c r="I11" s="623"/>
      <c r="J11" s="623"/>
      <c r="K11" s="623"/>
    </row>
    <row r="12" spans="1:14">
      <c r="A12" s="610" t="s">
        <v>969</v>
      </c>
      <c r="B12" s="611"/>
      <c r="C12" s="611"/>
      <c r="D12" s="611"/>
      <c r="E12" s="611"/>
      <c r="F12" s="611"/>
      <c r="G12" s="620"/>
      <c r="H12" s="611"/>
      <c r="I12" s="611"/>
      <c r="J12" s="512"/>
      <c r="K12" s="512"/>
    </row>
    <row r="13" spans="1:14">
      <c r="A13" s="610" t="s">
        <v>970</v>
      </c>
      <c r="B13" s="611"/>
      <c r="C13" s="611"/>
      <c r="D13" s="611"/>
      <c r="E13" s="611"/>
      <c r="F13" s="611"/>
      <c r="G13" s="620"/>
      <c r="H13" s="611"/>
      <c r="I13" s="611"/>
      <c r="J13" s="512"/>
      <c r="K13" s="512"/>
    </row>
    <row r="14" spans="1:14">
      <c r="A14" s="610"/>
      <c r="B14" s="610"/>
      <c r="C14" s="610"/>
      <c r="D14" s="610"/>
      <c r="E14" s="610"/>
      <c r="F14" s="610"/>
      <c r="G14" s="610"/>
      <c r="H14" s="610"/>
      <c r="I14" s="610"/>
      <c r="J14" s="610"/>
      <c r="K14" s="610"/>
    </row>
    <row r="15" spans="1:14">
      <c r="A15" s="639" t="s">
        <v>646</v>
      </c>
      <c r="B15" s="611"/>
      <c r="C15" s="611"/>
      <c r="D15" s="611"/>
      <c r="E15" s="611"/>
      <c r="F15" s="611"/>
      <c r="G15" s="511"/>
      <c r="H15" s="611"/>
      <c r="I15" s="611"/>
      <c r="J15" s="623"/>
      <c r="K15" s="623"/>
    </row>
    <row r="16" spans="1:14">
      <c r="A16" s="610" t="s">
        <v>969</v>
      </c>
      <c r="B16" s="637"/>
      <c r="C16" s="611"/>
      <c r="D16" s="510"/>
      <c r="E16" s="611"/>
      <c r="F16" s="510"/>
      <c r="G16" s="620"/>
      <c r="H16" s="611"/>
      <c r="I16" s="510"/>
      <c r="J16" s="512"/>
      <c r="K16" s="512"/>
    </row>
    <row r="17" spans="1:11">
      <c r="A17" s="610" t="s">
        <v>970</v>
      </c>
      <c r="B17" s="637"/>
      <c r="C17" s="611"/>
      <c r="D17" s="510"/>
      <c r="E17" s="611"/>
      <c r="F17" s="510"/>
      <c r="G17" s="620"/>
      <c r="H17" s="611"/>
      <c r="I17" s="510"/>
      <c r="J17" s="512"/>
      <c r="K17" s="512"/>
    </row>
    <row r="18" spans="1:11">
      <c r="A18" s="610"/>
      <c r="B18" s="610"/>
      <c r="C18" s="610"/>
      <c r="D18" s="610"/>
      <c r="E18" s="610"/>
      <c r="F18" s="610"/>
      <c r="G18" s="610"/>
      <c r="H18" s="610"/>
      <c r="I18" s="610"/>
      <c r="J18" s="610"/>
      <c r="K18" s="610"/>
    </row>
    <row r="19" spans="1:11">
      <c r="A19" s="639" t="s">
        <v>647</v>
      </c>
      <c r="B19" s="611"/>
      <c r="C19" s="611"/>
      <c r="D19" s="611"/>
      <c r="E19" s="611"/>
      <c r="F19" s="611"/>
      <c r="G19" s="511"/>
      <c r="H19" s="611"/>
      <c r="I19" s="611"/>
      <c r="J19" s="623"/>
      <c r="K19" s="623"/>
    </row>
    <row r="20" spans="1:11">
      <c r="A20" s="610" t="s">
        <v>969</v>
      </c>
      <c r="B20" s="611"/>
      <c r="C20" s="623"/>
      <c r="D20" s="510"/>
      <c r="E20" s="623"/>
      <c r="F20" s="510"/>
      <c r="G20" s="620"/>
      <c r="H20" s="623"/>
      <c r="I20" s="510"/>
      <c r="J20" s="512"/>
      <c r="K20" s="512"/>
    </row>
    <row r="21" spans="1:11">
      <c r="A21" s="610" t="s">
        <v>970</v>
      </c>
      <c r="B21" s="611"/>
      <c r="C21" s="623"/>
      <c r="D21" s="510"/>
      <c r="E21" s="623"/>
      <c r="F21" s="510"/>
      <c r="G21" s="620"/>
      <c r="H21" s="623"/>
      <c r="I21" s="510"/>
      <c r="J21" s="512"/>
      <c r="K21" s="512"/>
    </row>
    <row r="22" spans="1:11">
      <c r="A22" s="610" t="s">
        <v>971</v>
      </c>
      <c r="B22" s="611"/>
      <c r="C22" s="623"/>
      <c r="D22" s="510"/>
      <c r="E22" s="623"/>
      <c r="F22" s="510"/>
      <c r="G22" s="620"/>
      <c r="H22" s="623"/>
      <c r="I22" s="510"/>
      <c r="J22" s="512"/>
      <c r="K22" s="512"/>
    </row>
    <row r="23" spans="1:11">
      <c r="A23" s="610" t="s">
        <v>972</v>
      </c>
      <c r="B23" s="611"/>
      <c r="C23" s="623"/>
      <c r="D23" s="510"/>
      <c r="E23" s="623"/>
      <c r="F23" s="510"/>
      <c r="G23" s="620"/>
      <c r="H23" s="623"/>
      <c r="I23" s="510"/>
      <c r="J23" s="512"/>
      <c r="K23" s="512"/>
    </row>
    <row r="24" spans="1:11">
      <c r="A24" s="610"/>
      <c r="B24" s="610"/>
      <c r="C24" s="610"/>
      <c r="D24" s="610"/>
      <c r="E24" s="610"/>
      <c r="F24" s="610"/>
      <c r="G24" s="610"/>
      <c r="H24" s="610"/>
      <c r="I24" s="610"/>
      <c r="J24" s="610"/>
      <c r="K24" s="610"/>
    </row>
    <row r="25" spans="1:11">
      <c r="A25" s="639" t="s">
        <v>648</v>
      </c>
      <c r="B25" s="611"/>
      <c r="C25" s="611"/>
      <c r="D25" s="611"/>
      <c r="E25" s="611"/>
      <c r="F25" s="611"/>
      <c r="G25" s="511"/>
      <c r="H25" s="611"/>
      <c r="I25" s="611"/>
      <c r="J25" s="623"/>
      <c r="K25" s="623"/>
    </row>
    <row r="26" spans="1:11">
      <c r="A26" s="610" t="s">
        <v>969</v>
      </c>
      <c r="B26" s="611"/>
      <c r="C26" s="611"/>
      <c r="D26" s="510"/>
      <c r="E26" s="611"/>
      <c r="F26" s="510"/>
      <c r="G26" s="620"/>
      <c r="H26" s="611"/>
      <c r="I26" s="510"/>
      <c r="J26" s="512"/>
      <c r="K26" s="512"/>
    </row>
    <row r="27" spans="1:11">
      <c r="A27" s="610" t="s">
        <v>970</v>
      </c>
      <c r="B27" s="611"/>
      <c r="C27" s="611"/>
      <c r="D27" s="510"/>
      <c r="E27" s="611"/>
      <c r="F27" s="510"/>
      <c r="G27" s="620"/>
      <c r="H27" s="611"/>
      <c r="I27" s="510"/>
      <c r="J27" s="512"/>
      <c r="K27" s="512"/>
    </row>
    <row r="28" spans="1:11">
      <c r="A28" s="610"/>
      <c r="B28" s="610"/>
      <c r="C28" s="610"/>
      <c r="D28" s="610"/>
      <c r="E28" s="610"/>
      <c r="F28" s="610"/>
      <c r="G28" s="610"/>
      <c r="H28" s="610"/>
      <c r="I28" s="610"/>
      <c r="J28" s="610"/>
      <c r="K28" s="610"/>
    </row>
    <row r="29" spans="1:11">
      <c r="A29" s="639" t="s">
        <v>649</v>
      </c>
      <c r="B29" s="611"/>
      <c r="C29" s="611"/>
      <c r="D29" s="611"/>
      <c r="E29" s="611"/>
      <c r="F29" s="611"/>
      <c r="G29" s="511"/>
      <c r="H29" s="611"/>
      <c r="I29" s="611"/>
      <c r="J29" s="623"/>
      <c r="K29" s="623"/>
    </row>
    <row r="30" spans="1:11">
      <c r="A30" s="610" t="s">
        <v>969</v>
      </c>
      <c r="B30" s="611"/>
      <c r="C30" s="611"/>
      <c r="D30" s="510"/>
      <c r="E30" s="611"/>
      <c r="F30" s="510"/>
      <c r="G30" s="620"/>
      <c r="H30" s="611"/>
      <c r="I30" s="510"/>
      <c r="J30" s="623"/>
      <c r="K30" s="623"/>
    </row>
    <row r="31" spans="1:11">
      <c r="A31" s="610" t="s">
        <v>970</v>
      </c>
      <c r="B31" s="611"/>
      <c r="C31" s="611"/>
      <c r="D31" s="510"/>
      <c r="E31" s="611"/>
      <c r="F31" s="611"/>
      <c r="G31" s="620"/>
      <c r="H31" s="611"/>
      <c r="I31" s="611"/>
      <c r="J31" s="512"/>
      <c r="K31" s="512"/>
    </row>
    <row r="32" spans="1:11">
      <c r="A32" s="610"/>
      <c r="B32" s="610"/>
      <c r="C32" s="610"/>
      <c r="D32" s="610"/>
      <c r="E32" s="610"/>
      <c r="F32" s="610"/>
      <c r="G32" s="610"/>
      <c r="H32" s="610"/>
      <c r="I32" s="610"/>
      <c r="J32" s="610"/>
      <c r="K32" s="610"/>
    </row>
    <row r="33" spans="1:18">
      <c r="A33" s="639" t="s">
        <v>650</v>
      </c>
      <c r="B33" s="611"/>
      <c r="C33" s="611"/>
      <c r="D33" s="611"/>
      <c r="E33" s="611"/>
      <c r="F33" s="611"/>
      <c r="G33" s="511"/>
      <c r="H33" s="611"/>
      <c r="I33" s="510"/>
      <c r="J33" s="512"/>
      <c r="K33" s="513"/>
    </row>
    <row r="34" spans="1:18">
      <c r="A34" s="610" t="s">
        <v>969</v>
      </c>
      <c r="B34" s="611"/>
      <c r="C34" s="611"/>
      <c r="D34" s="510"/>
      <c r="E34" s="611"/>
      <c r="F34" s="611"/>
      <c r="G34" s="620"/>
      <c r="H34" s="611"/>
      <c r="I34" s="611"/>
      <c r="J34" s="512"/>
      <c r="K34" s="513"/>
    </row>
    <row r="35" spans="1:18">
      <c r="A35" s="610"/>
      <c r="B35" s="610"/>
      <c r="C35" s="610"/>
      <c r="D35" s="610"/>
      <c r="E35" s="610"/>
      <c r="F35" s="610"/>
      <c r="G35" s="511"/>
      <c r="H35" s="610"/>
      <c r="I35" s="610"/>
      <c r="J35" s="511"/>
      <c r="K35" s="511"/>
    </row>
    <row r="36" spans="1:18">
      <c r="A36" s="639" t="s">
        <v>651</v>
      </c>
      <c r="B36" s="611"/>
      <c r="C36" s="611"/>
      <c r="D36" s="611"/>
      <c r="E36" s="611"/>
      <c r="F36" s="611"/>
      <c r="G36" s="511"/>
      <c r="H36" s="611"/>
      <c r="I36" s="611"/>
      <c r="J36" s="623"/>
      <c r="K36" s="638"/>
    </row>
    <row r="37" spans="1:18">
      <c r="A37" s="610" t="s">
        <v>969</v>
      </c>
      <c r="B37" s="611"/>
      <c r="C37" s="611"/>
      <c r="D37" s="510"/>
      <c r="E37" s="611"/>
      <c r="F37" s="510"/>
      <c r="G37" s="620"/>
      <c r="H37" s="611"/>
      <c r="I37" s="510"/>
      <c r="J37" s="512"/>
      <c r="K37" s="513"/>
    </row>
    <row r="38" spans="1:18">
      <c r="A38" s="610" t="s">
        <v>970</v>
      </c>
      <c r="B38" s="611"/>
      <c r="C38" s="611"/>
      <c r="D38" s="510"/>
      <c r="E38" s="611"/>
      <c r="F38" s="510"/>
      <c r="G38" s="620"/>
      <c r="H38" s="611"/>
      <c r="I38" s="510"/>
      <c r="J38" s="512"/>
      <c r="K38" s="513"/>
    </row>
    <row r="39" spans="1:18">
      <c r="A39" s="610" t="s">
        <v>971</v>
      </c>
      <c r="B39" s="611"/>
      <c r="C39" s="611"/>
      <c r="D39" s="510"/>
      <c r="E39" s="611"/>
      <c r="F39" s="510"/>
      <c r="G39" s="620"/>
      <c r="H39" s="611"/>
      <c r="I39" s="510"/>
      <c r="J39" s="512"/>
      <c r="K39" s="513"/>
    </row>
    <row r="40" spans="1:18">
      <c r="A40" s="610"/>
      <c r="B40" s="610"/>
      <c r="C40" s="610"/>
      <c r="D40" s="610"/>
      <c r="E40" s="610"/>
      <c r="F40" s="610"/>
      <c r="G40" s="610"/>
      <c r="H40" s="610"/>
      <c r="I40" s="610"/>
      <c r="J40" s="610"/>
      <c r="K40" s="610"/>
    </row>
    <row r="41" spans="1:18">
      <c r="A41" s="639" t="s">
        <v>654</v>
      </c>
      <c r="B41" s="611">
        <f>B36+B33+B29+B25+B19+B15+B11+B6</f>
        <v>0</v>
      </c>
      <c r="C41" s="611">
        <f t="shared" ref="C41:F41" si="0">C36+C33+C29+C25+C19+C15+C11+C6</f>
        <v>0</v>
      </c>
      <c r="D41" s="611">
        <f t="shared" si="0"/>
        <v>0</v>
      </c>
      <c r="E41" s="611">
        <f t="shared" si="0"/>
        <v>0</v>
      </c>
      <c r="F41" s="611">
        <f t="shared" si="0"/>
        <v>0</v>
      </c>
      <c r="G41" s="622" t="e">
        <f>F41/E41</f>
        <v>#DIV/0!</v>
      </c>
      <c r="H41" s="611">
        <f t="shared" ref="H41:I41" si="1">H36+H33+H29+H25+H19+H15+H11+H6</f>
        <v>0</v>
      </c>
      <c r="I41" s="611">
        <f t="shared" si="1"/>
        <v>0</v>
      </c>
      <c r="J41" s="640">
        <f>J36+J33+J29+J25+J19+J15+J11+J6</f>
        <v>0</v>
      </c>
      <c r="K41" s="640">
        <f>K36+K33+K29+K25+K19+K15+K11+K6</f>
        <v>0</v>
      </c>
    </row>
    <row r="45" spans="1:18" ht="60">
      <c r="A45" s="515" t="s">
        <v>1142</v>
      </c>
      <c r="B45" s="515" t="s">
        <v>1143</v>
      </c>
      <c r="C45" s="612" t="s">
        <v>1144</v>
      </c>
      <c r="D45" s="515" t="s">
        <v>1145</v>
      </c>
      <c r="E45" s="515" t="s">
        <v>1146</v>
      </c>
      <c r="F45" s="612" t="s">
        <v>1147</v>
      </c>
      <c r="H45" s="515" t="s">
        <v>983</v>
      </c>
      <c r="I45" s="515" t="s">
        <v>984</v>
      </c>
      <c r="J45" s="612" t="s">
        <v>985</v>
      </c>
      <c r="K45" s="515" t="s">
        <v>994</v>
      </c>
      <c r="L45" s="515" t="s">
        <v>995</v>
      </c>
      <c r="M45" s="515" t="s">
        <v>994</v>
      </c>
      <c r="N45" s="515" t="s">
        <v>995</v>
      </c>
      <c r="O45" s="612" t="s">
        <v>996</v>
      </c>
      <c r="P45" s="515" t="s">
        <v>1148</v>
      </c>
      <c r="Q45" s="515" t="s">
        <v>1149</v>
      </c>
      <c r="R45" s="515" t="s">
        <v>974</v>
      </c>
    </row>
    <row r="46" spans="1:18">
      <c r="A46" s="516">
        <f>C41</f>
        <v>0</v>
      </c>
      <c r="B46" s="516">
        <f>D41</f>
        <v>0</v>
      </c>
      <c r="C46" s="612" t="e">
        <f>B46/A46*100</f>
        <v>#DIV/0!</v>
      </c>
      <c r="D46" s="516">
        <f>E41</f>
        <v>0</v>
      </c>
      <c r="E46" s="516">
        <v>0</v>
      </c>
      <c r="F46" s="612" t="e">
        <f>E46/D46*100</f>
        <v>#DIV/0!</v>
      </c>
      <c r="H46" s="516">
        <v>0</v>
      </c>
      <c r="I46" s="517">
        <v>0</v>
      </c>
      <c r="J46" s="612" t="e">
        <f>I46/H46*100</f>
        <v>#DIV/0!</v>
      </c>
      <c r="K46" s="516">
        <v>0</v>
      </c>
      <c r="L46" s="516">
        <v>0</v>
      </c>
      <c r="M46" s="516">
        <v>2943</v>
      </c>
      <c r="N46" s="519">
        <v>1996</v>
      </c>
      <c r="O46" s="612">
        <f>N46/M46*100</f>
        <v>67.821950390757735</v>
      </c>
      <c r="P46" s="516">
        <f>K46+H46+D46+A46</f>
        <v>0</v>
      </c>
      <c r="Q46" s="516">
        <v>0</v>
      </c>
      <c r="R46" s="518">
        <v>0</v>
      </c>
    </row>
  </sheetData>
  <mergeCells count="16">
    <mergeCell ref="K4:K5"/>
    <mergeCell ref="A1:K2"/>
    <mergeCell ref="A3:D3"/>
    <mergeCell ref="E3:G3"/>
    <mergeCell ref="H3:I3"/>
    <mergeCell ref="J3:K3"/>
    <mergeCell ref="A4:A5"/>
    <mergeCell ref="B4:B5"/>
    <mergeCell ref="C4:C5"/>
    <mergeCell ref="D4:D5"/>
    <mergeCell ref="E4:E5"/>
    <mergeCell ref="F4:F5"/>
    <mergeCell ref="G4:G5"/>
    <mergeCell ref="H4:H5"/>
    <mergeCell ref="I4:I5"/>
    <mergeCell ref="J4:J5"/>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0BF15-22DB-4EFA-862A-D17DA6894BAC}">
  <dimension ref="A1:M181"/>
  <sheetViews>
    <sheetView workbookViewId="0">
      <selection activeCell="K14" sqref="K14"/>
    </sheetView>
  </sheetViews>
  <sheetFormatPr baseColWidth="10" defaultRowHeight="15"/>
  <cols>
    <col min="1" max="2" width="28" customWidth="1"/>
    <col min="3" max="3" width="41.5703125" customWidth="1"/>
    <col min="4" max="7" width="17.85546875" customWidth="1"/>
    <col min="8" max="8" width="11.85546875" customWidth="1"/>
    <col min="9" max="9" width="17.85546875" customWidth="1"/>
    <col min="10" max="10" width="21.140625" customWidth="1"/>
    <col min="11" max="11" width="16.5703125" customWidth="1"/>
  </cols>
  <sheetData>
    <row r="1" spans="1:10" ht="22.5" customHeight="1">
      <c r="A1" s="961"/>
      <c r="B1" s="964" t="s">
        <v>999</v>
      </c>
      <c r="C1" s="965"/>
      <c r="D1" s="965"/>
      <c r="E1" s="965"/>
      <c r="F1" s="965"/>
      <c r="G1" s="965"/>
      <c r="H1" s="965"/>
      <c r="I1" s="965"/>
      <c r="J1" s="965"/>
    </row>
    <row r="2" spans="1:10" ht="25.5" customHeight="1">
      <c r="A2" s="962"/>
      <c r="B2" s="964"/>
      <c r="C2" s="965"/>
      <c r="D2" s="965"/>
      <c r="E2" s="965"/>
      <c r="F2" s="965"/>
      <c r="G2" s="965"/>
      <c r="H2" s="965"/>
      <c r="I2" s="965"/>
      <c r="J2" s="965"/>
    </row>
    <row r="3" spans="1:10" ht="30" customHeight="1" thickBot="1">
      <c r="A3" s="963"/>
      <c r="B3" s="964"/>
      <c r="C3" s="965"/>
      <c r="D3" s="965"/>
      <c r="E3" s="965"/>
      <c r="F3" s="965"/>
      <c r="G3" s="965"/>
      <c r="H3" s="965"/>
      <c r="I3" s="965"/>
      <c r="J3" s="965"/>
    </row>
    <row r="4" spans="1:10" ht="35.1" customHeight="1">
      <c r="A4" s="537" t="s">
        <v>1000</v>
      </c>
      <c r="B4" s="538" t="s">
        <v>1001</v>
      </c>
      <c r="C4" s="538" t="s">
        <v>45</v>
      </c>
      <c r="D4" s="538" t="s">
        <v>640</v>
      </c>
      <c r="E4" s="538" t="s">
        <v>991</v>
      </c>
      <c r="F4" s="538" t="s">
        <v>642</v>
      </c>
      <c r="G4" s="538" t="s">
        <v>643</v>
      </c>
      <c r="H4" s="539" t="s">
        <v>1002</v>
      </c>
      <c r="I4" s="540" t="s">
        <v>1003</v>
      </c>
      <c r="J4" s="541" t="s">
        <v>1004</v>
      </c>
    </row>
    <row r="5" spans="1:10" ht="38.1" customHeight="1">
      <c r="A5" s="966" t="s">
        <v>1005</v>
      </c>
      <c r="B5" s="968" t="s">
        <v>1006</v>
      </c>
      <c r="C5" s="542" t="s">
        <v>1007</v>
      </c>
      <c r="D5" s="543">
        <f>H5/4</f>
        <v>0.1</v>
      </c>
      <c r="E5" s="543">
        <f>$H$5/4</f>
        <v>0.1</v>
      </c>
      <c r="F5" s="543">
        <f t="shared" ref="F5:G5" si="0">$H$5/4</f>
        <v>0.1</v>
      </c>
      <c r="G5" s="543">
        <f t="shared" si="0"/>
        <v>0.1</v>
      </c>
      <c r="H5" s="544">
        <v>0.4</v>
      </c>
      <c r="I5" s="545">
        <v>0</v>
      </c>
      <c r="J5" s="546">
        <v>0.24</v>
      </c>
    </row>
    <row r="6" spans="1:10" ht="38.1" customHeight="1">
      <c r="A6" s="966"/>
      <c r="B6" s="968"/>
      <c r="C6" s="542" t="s">
        <v>60</v>
      </c>
      <c r="D6" s="543">
        <f>$H$6/4</f>
        <v>0.25</v>
      </c>
      <c r="E6" s="543">
        <f t="shared" ref="E6:G6" si="1">$H$6/4</f>
        <v>0.25</v>
      </c>
      <c r="F6" s="543">
        <f t="shared" si="1"/>
        <v>0.25</v>
      </c>
      <c r="G6" s="543">
        <f t="shared" si="1"/>
        <v>0.25</v>
      </c>
      <c r="H6" s="544">
        <v>1</v>
      </c>
      <c r="I6" s="545">
        <v>0</v>
      </c>
      <c r="J6" s="546">
        <v>0.33</v>
      </c>
    </row>
    <row r="7" spans="1:10" ht="38.1" customHeight="1">
      <c r="A7" s="966"/>
      <c r="B7" s="968"/>
      <c r="C7" s="542" t="s">
        <v>1008</v>
      </c>
      <c r="D7" s="547">
        <f>$H$7/4</f>
        <v>0.1125</v>
      </c>
      <c r="E7" s="547">
        <f t="shared" ref="E7:G7" si="2">$H$7/4</f>
        <v>0.1125</v>
      </c>
      <c r="F7" s="547">
        <f t="shared" si="2"/>
        <v>0.1125</v>
      </c>
      <c r="G7" s="547">
        <f t="shared" si="2"/>
        <v>0.1125</v>
      </c>
      <c r="H7" s="544">
        <v>0.45</v>
      </c>
      <c r="I7" s="545">
        <v>0</v>
      </c>
      <c r="J7" s="546">
        <v>0</v>
      </c>
    </row>
    <row r="8" spans="1:10" ht="35.1" customHeight="1">
      <c r="A8" s="966"/>
      <c r="B8" s="968"/>
      <c r="C8" s="548" t="s">
        <v>311</v>
      </c>
      <c r="D8" s="548" t="s">
        <v>640</v>
      </c>
      <c r="E8" s="548" t="s">
        <v>991</v>
      </c>
      <c r="F8" s="548" t="s">
        <v>642</v>
      </c>
      <c r="G8" s="548" t="s">
        <v>643</v>
      </c>
      <c r="H8" s="549" t="s">
        <v>1002</v>
      </c>
      <c r="I8" s="545"/>
      <c r="J8" s="546"/>
    </row>
    <row r="9" spans="1:10" ht="27.75" customHeight="1">
      <c r="A9" s="966"/>
      <c r="B9" s="968"/>
      <c r="C9" s="542" t="s">
        <v>55</v>
      </c>
      <c r="D9" s="550">
        <f>$H$9/4</f>
        <v>0</v>
      </c>
      <c r="E9" s="550">
        <f t="shared" ref="E9:G9" si="3">$H$9/4</f>
        <v>0</v>
      </c>
      <c r="F9" s="550">
        <f t="shared" si="3"/>
        <v>0</v>
      </c>
      <c r="G9" s="550">
        <f t="shared" si="3"/>
        <v>0</v>
      </c>
      <c r="H9" s="551">
        <v>0</v>
      </c>
      <c r="I9" s="545">
        <v>0</v>
      </c>
      <c r="J9" s="546">
        <v>0</v>
      </c>
    </row>
    <row r="10" spans="1:10" ht="30.75" customHeight="1">
      <c r="A10" s="966"/>
      <c r="B10" s="968"/>
      <c r="C10" s="542" t="s">
        <v>56</v>
      </c>
      <c r="D10" s="550">
        <f>$H$10/4</f>
        <v>0</v>
      </c>
      <c r="E10" s="550">
        <f t="shared" ref="E10:G10" si="4">$H$10/4</f>
        <v>0</v>
      </c>
      <c r="F10" s="550">
        <f t="shared" si="4"/>
        <v>0</v>
      </c>
      <c r="G10" s="550">
        <f t="shared" si="4"/>
        <v>0</v>
      </c>
      <c r="H10" s="551">
        <v>0</v>
      </c>
      <c r="I10" s="545">
        <v>0</v>
      </c>
      <c r="J10" s="546">
        <v>0.24</v>
      </c>
    </row>
    <row r="11" spans="1:10" ht="36" customHeight="1">
      <c r="A11" s="966"/>
      <c r="B11" s="968"/>
      <c r="C11" s="542" t="s">
        <v>1009</v>
      </c>
      <c r="D11" s="550">
        <f>$H$11/4</f>
        <v>2</v>
      </c>
      <c r="E11" s="550">
        <f t="shared" ref="E11:G11" si="5">$H$11/4</f>
        <v>2</v>
      </c>
      <c r="F11" s="550">
        <f t="shared" si="5"/>
        <v>2</v>
      </c>
      <c r="G11" s="550">
        <f t="shared" si="5"/>
        <v>2</v>
      </c>
      <c r="H11" s="551">
        <v>8</v>
      </c>
      <c r="I11" s="545">
        <v>0</v>
      </c>
      <c r="J11" s="546">
        <v>0</v>
      </c>
    </row>
    <row r="12" spans="1:10" ht="39" customHeight="1">
      <c r="A12" s="966"/>
      <c r="B12" s="968" t="s">
        <v>1010</v>
      </c>
      <c r="C12" s="548" t="s">
        <v>45</v>
      </c>
      <c r="D12" s="548" t="s">
        <v>640</v>
      </c>
      <c r="E12" s="548" t="s">
        <v>991</v>
      </c>
      <c r="F12" s="548" t="s">
        <v>642</v>
      </c>
      <c r="G12" s="548" t="s">
        <v>643</v>
      </c>
      <c r="H12" s="549" t="s">
        <v>1002</v>
      </c>
      <c r="I12" s="522"/>
      <c r="J12" s="546"/>
    </row>
    <row r="13" spans="1:10" ht="51.75" customHeight="1">
      <c r="A13" s="966"/>
      <c r="B13" s="968"/>
      <c r="C13" s="542" t="s">
        <v>326</v>
      </c>
      <c r="D13" s="551" t="s">
        <v>1011</v>
      </c>
      <c r="E13" s="551" t="s">
        <v>1011</v>
      </c>
      <c r="F13" s="551" t="s">
        <v>1011</v>
      </c>
      <c r="G13" s="551" t="s">
        <v>1011</v>
      </c>
      <c r="H13" s="551" t="s">
        <v>1011</v>
      </c>
      <c r="I13" s="552">
        <v>1.47E-2</v>
      </c>
      <c r="J13" s="553">
        <v>1</v>
      </c>
    </row>
    <row r="14" spans="1:10" ht="35.25" customHeight="1">
      <c r="A14" s="966"/>
      <c r="B14" s="968"/>
      <c r="C14" s="548" t="s">
        <v>311</v>
      </c>
      <c r="D14" s="548" t="s">
        <v>640</v>
      </c>
      <c r="E14" s="548" t="s">
        <v>991</v>
      </c>
      <c r="F14" s="548" t="s">
        <v>642</v>
      </c>
      <c r="G14" s="548" t="s">
        <v>643</v>
      </c>
      <c r="H14" s="549" t="s">
        <v>1002</v>
      </c>
      <c r="I14" s="509"/>
      <c r="J14" s="546"/>
    </row>
    <row r="15" spans="1:10" ht="47.25" customHeight="1">
      <c r="A15" s="966"/>
      <c r="B15" s="968"/>
      <c r="C15" s="542" t="s">
        <v>313</v>
      </c>
      <c r="D15" s="543">
        <f>$H$15/4</f>
        <v>0.2</v>
      </c>
      <c r="E15" s="543">
        <f t="shared" ref="E15:G15" si="6">$H$15/4</f>
        <v>0.2</v>
      </c>
      <c r="F15" s="543">
        <f t="shared" si="6"/>
        <v>0.2</v>
      </c>
      <c r="G15" s="543">
        <f t="shared" si="6"/>
        <v>0.2</v>
      </c>
      <c r="H15" s="554">
        <v>0.8</v>
      </c>
      <c r="I15" s="545">
        <v>0.37</v>
      </c>
      <c r="J15" s="546">
        <v>0.37</v>
      </c>
    </row>
    <row r="16" spans="1:10" ht="28.5" customHeight="1">
      <c r="A16" s="966"/>
      <c r="B16" s="968"/>
      <c r="C16" s="542" t="s">
        <v>64</v>
      </c>
      <c r="D16" s="555">
        <f>$H$16/4</f>
        <v>0.17499999999999999</v>
      </c>
      <c r="E16" s="555">
        <f t="shared" ref="E16:G16" si="7">$H$16/4</f>
        <v>0.17499999999999999</v>
      </c>
      <c r="F16" s="555">
        <f t="shared" si="7"/>
        <v>0.17499999999999999</v>
      </c>
      <c r="G16" s="555">
        <f t="shared" si="7"/>
        <v>0.17499999999999999</v>
      </c>
      <c r="H16" s="554">
        <v>0.7</v>
      </c>
      <c r="I16" s="545">
        <v>0.37</v>
      </c>
      <c r="J16" s="546">
        <v>0.42</v>
      </c>
    </row>
    <row r="17" spans="1:12" ht="32.25" customHeight="1">
      <c r="A17" s="966"/>
      <c r="B17" s="968"/>
      <c r="C17" s="542" t="s">
        <v>65</v>
      </c>
      <c r="D17" s="555">
        <f>$H$17/4</f>
        <v>0.17499999999999999</v>
      </c>
      <c r="E17" s="555">
        <f t="shared" ref="E17:G17" si="8">$H$17/4</f>
        <v>0.17499999999999999</v>
      </c>
      <c r="F17" s="555">
        <f t="shared" si="8"/>
        <v>0.17499999999999999</v>
      </c>
      <c r="G17" s="555">
        <f t="shared" si="8"/>
        <v>0.17499999999999999</v>
      </c>
      <c r="H17" s="554">
        <v>0.7</v>
      </c>
      <c r="I17" s="545">
        <v>0.37</v>
      </c>
      <c r="J17" s="546">
        <v>0.42</v>
      </c>
    </row>
    <row r="18" spans="1:12" ht="34.5" customHeight="1">
      <c r="A18" s="966"/>
      <c r="B18" s="968"/>
      <c r="C18" s="542" t="s">
        <v>66</v>
      </c>
      <c r="D18" s="543">
        <f>$H$18/4</f>
        <v>0.25</v>
      </c>
      <c r="E18" s="543">
        <f t="shared" ref="E18:G18" si="9">$H$18/4</f>
        <v>0.25</v>
      </c>
      <c r="F18" s="543">
        <f t="shared" si="9"/>
        <v>0.25</v>
      </c>
      <c r="G18" s="543">
        <f t="shared" si="9"/>
        <v>0.25</v>
      </c>
      <c r="H18" s="554">
        <v>1</v>
      </c>
      <c r="I18" s="545">
        <v>0.1</v>
      </c>
      <c r="J18" s="546">
        <v>0.2</v>
      </c>
    </row>
    <row r="19" spans="1:12" ht="35.25" customHeight="1">
      <c r="A19" s="966"/>
      <c r="B19" s="968"/>
      <c r="C19" s="542" t="s">
        <v>1012</v>
      </c>
      <c r="D19" s="556">
        <f>$H$19/4</f>
        <v>0.25</v>
      </c>
      <c r="E19" s="556">
        <f t="shared" ref="E19:G19" si="10">$H$19/4</f>
        <v>0.25</v>
      </c>
      <c r="F19" s="556">
        <f t="shared" si="10"/>
        <v>0.25</v>
      </c>
      <c r="G19" s="556">
        <f t="shared" si="10"/>
        <v>0.25</v>
      </c>
      <c r="H19" s="551">
        <v>1</v>
      </c>
      <c r="I19" s="545">
        <v>0</v>
      </c>
      <c r="J19" s="546">
        <v>0</v>
      </c>
    </row>
    <row r="20" spans="1:12" ht="36" customHeight="1">
      <c r="A20" s="966"/>
      <c r="B20" s="968" t="s">
        <v>1013</v>
      </c>
      <c r="C20" s="548" t="s">
        <v>45</v>
      </c>
      <c r="D20" s="548" t="s">
        <v>640</v>
      </c>
      <c r="E20" s="548" t="s">
        <v>991</v>
      </c>
      <c r="F20" s="548" t="s">
        <v>642</v>
      </c>
      <c r="G20" s="548" t="s">
        <v>643</v>
      </c>
      <c r="H20" s="549" t="s">
        <v>1002</v>
      </c>
      <c r="I20" s="522"/>
      <c r="J20" s="546"/>
    </row>
    <row r="21" spans="1:12" ht="39" customHeight="1">
      <c r="A21" s="966"/>
      <c r="B21" s="968"/>
      <c r="C21" s="542" t="s">
        <v>1014</v>
      </c>
      <c r="D21" s="547">
        <f>$H$21/4</f>
        <v>0.23749999999999999</v>
      </c>
      <c r="E21" s="547">
        <f t="shared" ref="E21:G21" si="11">$H$21/4</f>
        <v>0.23749999999999999</v>
      </c>
      <c r="F21" s="547">
        <f t="shared" si="11"/>
        <v>0.23749999999999999</v>
      </c>
      <c r="G21" s="547">
        <f t="shared" si="11"/>
        <v>0.23749999999999999</v>
      </c>
      <c r="H21" s="544">
        <v>0.95</v>
      </c>
      <c r="I21" s="545">
        <v>0.26</v>
      </c>
      <c r="J21" s="546">
        <v>0.31</v>
      </c>
    </row>
    <row r="22" spans="1:12" ht="39" customHeight="1">
      <c r="A22" s="966"/>
      <c r="B22" s="968"/>
      <c r="C22" s="548" t="s">
        <v>311</v>
      </c>
      <c r="D22" s="548" t="s">
        <v>640</v>
      </c>
      <c r="E22" s="548" t="s">
        <v>991</v>
      </c>
      <c r="F22" s="548" t="s">
        <v>642</v>
      </c>
      <c r="G22" s="548" t="s">
        <v>643</v>
      </c>
      <c r="H22" s="549" t="s">
        <v>1002</v>
      </c>
      <c r="I22" s="509"/>
      <c r="J22" s="546"/>
    </row>
    <row r="23" spans="1:12" ht="39" customHeight="1">
      <c r="A23" s="966"/>
      <c r="B23" s="968"/>
      <c r="C23" s="542" t="s">
        <v>1015</v>
      </c>
      <c r="D23" s="550">
        <f>$H$23/4</f>
        <v>1</v>
      </c>
      <c r="E23" s="550">
        <f t="shared" ref="E23:G23" si="12">$H$23/4</f>
        <v>1</v>
      </c>
      <c r="F23" s="550">
        <f t="shared" si="12"/>
        <v>1</v>
      </c>
      <c r="G23" s="550">
        <f t="shared" si="12"/>
        <v>1</v>
      </c>
      <c r="H23" s="557">
        <v>4</v>
      </c>
      <c r="I23" s="545">
        <v>0.5</v>
      </c>
      <c r="J23" s="546">
        <v>0.57999999999999996</v>
      </c>
    </row>
    <row r="24" spans="1:12" ht="39" customHeight="1" thickBot="1">
      <c r="A24" s="967"/>
      <c r="B24" s="969"/>
      <c r="C24" s="558" t="s">
        <v>1016</v>
      </c>
      <c r="D24" s="559">
        <f>$H$24/4</f>
        <v>0.25</v>
      </c>
      <c r="E24" s="559">
        <f t="shared" ref="E24:G24" si="13">$H$24/4</f>
        <v>0.25</v>
      </c>
      <c r="F24" s="559">
        <f t="shared" si="13"/>
        <v>0.25</v>
      </c>
      <c r="G24" s="559">
        <f t="shared" si="13"/>
        <v>0.25</v>
      </c>
      <c r="H24" s="560">
        <v>1</v>
      </c>
      <c r="I24" s="561">
        <v>0.42</v>
      </c>
      <c r="J24" s="562">
        <v>0.5</v>
      </c>
    </row>
    <row r="25" spans="1:12" ht="39" customHeight="1">
      <c r="A25" s="563" t="s">
        <v>1017</v>
      </c>
      <c r="B25" s="564" t="s">
        <v>1001</v>
      </c>
      <c r="C25" s="564" t="s">
        <v>45</v>
      </c>
      <c r="D25" s="564" t="s">
        <v>640</v>
      </c>
      <c r="E25" s="564" t="s">
        <v>991</v>
      </c>
      <c r="F25" s="564" t="s">
        <v>642</v>
      </c>
      <c r="G25" s="564" t="s">
        <v>643</v>
      </c>
      <c r="H25" s="565" t="s">
        <v>1002</v>
      </c>
      <c r="I25" s="566"/>
      <c r="J25" s="567"/>
    </row>
    <row r="26" spans="1:12" ht="30" customHeight="1">
      <c r="A26" s="970" t="s">
        <v>1018</v>
      </c>
      <c r="B26" s="972" t="s">
        <v>1019</v>
      </c>
      <c r="C26" s="568" t="s">
        <v>77</v>
      </c>
      <c r="D26" s="569">
        <f>$H$26/4</f>
        <v>0.05</v>
      </c>
      <c r="E26" s="569">
        <f t="shared" ref="E26:G26" si="14">$H$26/4</f>
        <v>0.05</v>
      </c>
      <c r="F26" s="569">
        <f t="shared" si="14"/>
        <v>0.05</v>
      </c>
      <c r="G26" s="569">
        <f t="shared" si="14"/>
        <v>0.05</v>
      </c>
      <c r="H26" s="570">
        <v>0.2</v>
      </c>
      <c r="I26" s="545">
        <v>0.35</v>
      </c>
      <c r="J26" s="571">
        <v>0.30990000000000001</v>
      </c>
    </row>
    <row r="27" spans="1:12" ht="25.5" customHeight="1">
      <c r="A27" s="970"/>
      <c r="B27" s="972"/>
      <c r="C27" s="568" t="s">
        <v>78</v>
      </c>
      <c r="D27" s="572" t="s">
        <v>1020</v>
      </c>
      <c r="E27" s="572" t="s">
        <v>1020</v>
      </c>
      <c r="F27" s="572" t="s">
        <v>1020</v>
      </c>
      <c r="G27" s="572" t="s">
        <v>1020</v>
      </c>
      <c r="H27" s="572" t="s">
        <v>1020</v>
      </c>
      <c r="I27" s="545">
        <v>0.42</v>
      </c>
      <c r="J27" s="573">
        <v>0.5</v>
      </c>
    </row>
    <row r="28" spans="1:12" ht="33.75" customHeight="1">
      <c r="A28" s="970"/>
      <c r="B28" s="972"/>
      <c r="C28" s="568" t="s">
        <v>1021</v>
      </c>
      <c r="D28" s="572" t="s">
        <v>1022</v>
      </c>
      <c r="E28" s="572" t="s">
        <v>1022</v>
      </c>
      <c r="F28" s="572" t="s">
        <v>1022</v>
      </c>
      <c r="G28" s="572" t="s">
        <v>1022</v>
      </c>
      <c r="H28" s="572" t="s">
        <v>1022</v>
      </c>
      <c r="I28" s="545">
        <v>0.35</v>
      </c>
      <c r="J28" s="573">
        <v>0.42</v>
      </c>
    </row>
    <row r="29" spans="1:12" ht="33" customHeight="1">
      <c r="A29" s="970"/>
      <c r="B29" s="972"/>
      <c r="C29" s="568" t="s">
        <v>1023</v>
      </c>
      <c r="D29" s="574">
        <v>0</v>
      </c>
      <c r="E29" s="574">
        <v>0</v>
      </c>
      <c r="F29" s="574">
        <v>0</v>
      </c>
      <c r="G29" s="574">
        <v>0</v>
      </c>
      <c r="H29" s="574">
        <v>0</v>
      </c>
      <c r="I29" s="545">
        <v>0.42</v>
      </c>
      <c r="J29" s="573">
        <v>0.5</v>
      </c>
    </row>
    <row r="30" spans="1:12" ht="27.75" customHeight="1">
      <c r="A30" s="970"/>
      <c r="B30" s="972"/>
      <c r="C30" s="568" t="s">
        <v>1024</v>
      </c>
      <c r="D30" s="572" t="s">
        <v>1025</v>
      </c>
      <c r="E30" s="572" t="s">
        <v>1025</v>
      </c>
      <c r="F30" s="572" t="s">
        <v>1025</v>
      </c>
      <c r="G30" s="572" t="s">
        <v>1025</v>
      </c>
      <c r="H30" s="572" t="s">
        <v>1025</v>
      </c>
      <c r="I30" s="545">
        <v>0.35</v>
      </c>
      <c r="J30" s="573">
        <v>0.52</v>
      </c>
    </row>
    <row r="31" spans="1:12" ht="31.5" customHeight="1">
      <c r="A31" s="970"/>
      <c r="B31" s="972"/>
      <c r="C31" s="575" t="s">
        <v>311</v>
      </c>
      <c r="D31" s="575" t="s">
        <v>640</v>
      </c>
      <c r="E31" s="575" t="s">
        <v>991</v>
      </c>
      <c r="F31" s="575" t="s">
        <v>642</v>
      </c>
      <c r="G31" s="575" t="s">
        <v>643</v>
      </c>
      <c r="H31" s="576" t="s">
        <v>1002</v>
      </c>
      <c r="I31" s="509"/>
      <c r="J31" s="573"/>
    </row>
    <row r="32" spans="1:12" ht="28.5" customHeight="1">
      <c r="A32" s="970"/>
      <c r="B32" s="972"/>
      <c r="C32" s="568" t="s">
        <v>1026</v>
      </c>
      <c r="D32" s="569">
        <v>0.85</v>
      </c>
      <c r="E32" s="569">
        <v>0.85</v>
      </c>
      <c r="F32" s="569">
        <v>0.85</v>
      </c>
      <c r="G32" s="569">
        <v>0.85</v>
      </c>
      <c r="H32" s="570">
        <v>0.85</v>
      </c>
      <c r="I32" s="545">
        <v>0.84</v>
      </c>
      <c r="J32" s="571">
        <v>0.89710000000000001</v>
      </c>
      <c r="K32">
        <f>H32/84*100</f>
        <v>1.0119047619047619</v>
      </c>
      <c r="L32" s="573">
        <v>0.99</v>
      </c>
    </row>
    <row r="33" spans="1:12" ht="33" customHeight="1">
      <c r="A33" s="970"/>
      <c r="B33" s="972"/>
      <c r="C33" s="568" t="s">
        <v>1027</v>
      </c>
      <c r="D33" s="572" t="s">
        <v>1028</v>
      </c>
      <c r="E33" s="572" t="s">
        <v>1028</v>
      </c>
      <c r="F33" s="572" t="s">
        <v>1028</v>
      </c>
      <c r="G33" s="572" t="s">
        <v>1028</v>
      </c>
      <c r="H33" s="572" t="s">
        <v>1029</v>
      </c>
      <c r="I33" s="545">
        <v>0.2</v>
      </c>
      <c r="J33" s="573">
        <v>0.28000000000000003</v>
      </c>
    </row>
    <row r="34" spans="1:12" ht="35.25" customHeight="1">
      <c r="A34" s="970"/>
      <c r="B34" s="972"/>
      <c r="C34" s="568" t="s">
        <v>1030</v>
      </c>
      <c r="D34" s="569">
        <v>0.76</v>
      </c>
      <c r="E34" s="569">
        <v>0.76</v>
      </c>
      <c r="F34" s="569">
        <v>0.76</v>
      </c>
      <c r="G34" s="569">
        <v>0.76</v>
      </c>
      <c r="H34" s="570">
        <v>0.76</v>
      </c>
      <c r="I34" s="552">
        <v>0.17829999999999999</v>
      </c>
      <c r="J34" s="571">
        <v>0.33700000000000002</v>
      </c>
    </row>
    <row r="35" spans="1:12" ht="29.25" customHeight="1">
      <c r="A35" s="970"/>
      <c r="B35" s="972"/>
      <c r="C35" s="568" t="s">
        <v>1031</v>
      </c>
      <c r="D35" s="577">
        <f>$H$35/4</f>
        <v>2.5000000000000001E-2</v>
      </c>
      <c r="E35" s="577">
        <f t="shared" ref="E35:G35" si="15">$H$35/4</f>
        <v>2.5000000000000001E-2</v>
      </c>
      <c r="F35" s="577">
        <f t="shared" si="15"/>
        <v>2.5000000000000001E-2</v>
      </c>
      <c r="G35" s="577">
        <f t="shared" si="15"/>
        <v>2.5000000000000001E-2</v>
      </c>
      <c r="H35" s="570">
        <v>0.1</v>
      </c>
      <c r="I35" s="545">
        <v>0.08</v>
      </c>
      <c r="J35" s="571">
        <v>9.5200000000000007E-2</v>
      </c>
    </row>
    <row r="36" spans="1:12" ht="26.25" customHeight="1">
      <c r="A36" s="970"/>
      <c r="B36" s="972"/>
      <c r="C36" s="568" t="s">
        <v>89</v>
      </c>
      <c r="D36" s="578">
        <f>$H$36/4</f>
        <v>0.1875</v>
      </c>
      <c r="E36" s="578">
        <f t="shared" ref="E36:G36" si="16">$H$36/4</f>
        <v>0.1875</v>
      </c>
      <c r="F36" s="578">
        <f t="shared" si="16"/>
        <v>0.1875</v>
      </c>
      <c r="G36" s="578">
        <f t="shared" si="16"/>
        <v>0.1875</v>
      </c>
      <c r="H36" s="570">
        <v>0.75</v>
      </c>
      <c r="I36" s="545">
        <v>0.35</v>
      </c>
      <c r="J36" s="571">
        <v>0.48670000000000002</v>
      </c>
    </row>
    <row r="37" spans="1:12" ht="25.5" customHeight="1">
      <c r="A37" s="970"/>
      <c r="B37" s="972"/>
      <c r="C37" s="568" t="s">
        <v>90</v>
      </c>
      <c r="D37" s="569">
        <v>0.05</v>
      </c>
      <c r="E37" s="569">
        <v>0.05</v>
      </c>
      <c r="F37" s="569">
        <v>0.05</v>
      </c>
      <c r="G37" s="569">
        <v>0.05</v>
      </c>
      <c r="H37" s="570">
        <v>0.05</v>
      </c>
      <c r="I37" s="545">
        <v>0.17</v>
      </c>
      <c r="J37" s="571">
        <v>0.17710000000000001</v>
      </c>
    </row>
    <row r="38" spans="1:12" ht="31.5" customHeight="1">
      <c r="A38" s="970"/>
      <c r="B38" s="972"/>
      <c r="C38" s="568" t="s">
        <v>91</v>
      </c>
      <c r="D38" s="570">
        <v>1</v>
      </c>
      <c r="E38" s="570">
        <v>1</v>
      </c>
      <c r="F38" s="570">
        <v>1</v>
      </c>
      <c r="G38" s="570">
        <v>1</v>
      </c>
      <c r="H38" s="570">
        <v>1</v>
      </c>
      <c r="I38" s="545">
        <v>0.93</v>
      </c>
      <c r="J38" s="573">
        <v>1.55</v>
      </c>
    </row>
    <row r="39" spans="1:12" ht="31.5" customHeight="1">
      <c r="A39" s="970"/>
      <c r="B39" s="972"/>
      <c r="C39" s="568" t="s">
        <v>92</v>
      </c>
      <c r="D39" s="579">
        <v>1</v>
      </c>
      <c r="E39" s="579">
        <v>1</v>
      </c>
      <c r="F39" s="579">
        <v>1</v>
      </c>
      <c r="G39" s="579">
        <v>1</v>
      </c>
      <c r="H39" s="574">
        <v>1</v>
      </c>
      <c r="I39" s="545">
        <v>0.24</v>
      </c>
      <c r="J39" s="573">
        <v>0.24</v>
      </c>
    </row>
    <row r="40" spans="1:12" ht="31.5" customHeight="1">
      <c r="A40" s="970"/>
      <c r="B40" s="972"/>
      <c r="C40" s="568" t="s">
        <v>1032</v>
      </c>
      <c r="D40" s="579">
        <v>1</v>
      </c>
      <c r="E40" s="579">
        <v>1</v>
      </c>
      <c r="F40" s="579">
        <v>1</v>
      </c>
      <c r="G40" s="579">
        <v>1</v>
      </c>
      <c r="H40" s="574">
        <v>1</v>
      </c>
      <c r="I40" s="545">
        <v>0.32</v>
      </c>
      <c r="J40" s="573">
        <v>0.42</v>
      </c>
    </row>
    <row r="41" spans="1:12" ht="31.5" customHeight="1">
      <c r="A41" s="970"/>
      <c r="B41" s="972"/>
      <c r="C41" s="568" t="s">
        <v>1033</v>
      </c>
      <c r="D41" s="570">
        <v>0.4</v>
      </c>
      <c r="E41" s="570">
        <v>0.4</v>
      </c>
      <c r="F41" s="570">
        <v>0.4</v>
      </c>
      <c r="G41" s="570">
        <v>0.4</v>
      </c>
      <c r="H41" s="570">
        <v>0.4</v>
      </c>
      <c r="I41" s="545">
        <v>0.22159999999999999</v>
      </c>
      <c r="J41" s="573">
        <v>0.24</v>
      </c>
    </row>
    <row r="42" spans="1:12" ht="31.5" customHeight="1">
      <c r="A42" s="970"/>
      <c r="B42" s="972"/>
      <c r="C42" s="568" t="s">
        <v>1034</v>
      </c>
      <c r="D42" s="572" t="s">
        <v>1035</v>
      </c>
      <c r="E42" s="572" t="s">
        <v>1035</v>
      </c>
      <c r="F42" s="572" t="s">
        <v>1035</v>
      </c>
      <c r="G42" s="572" t="s">
        <v>1035</v>
      </c>
      <c r="H42" s="572" t="s">
        <v>1035</v>
      </c>
      <c r="I42" s="552">
        <v>0.95</v>
      </c>
      <c r="J42" s="580">
        <v>1.0306</v>
      </c>
      <c r="K42" s="581">
        <f>0.95*100/1.3</f>
        <v>73.07692307692308</v>
      </c>
      <c r="L42" s="573">
        <v>73</v>
      </c>
    </row>
    <row r="43" spans="1:12" ht="31.5" customHeight="1">
      <c r="A43" s="970"/>
      <c r="B43" s="972"/>
      <c r="C43" s="568" t="s">
        <v>1036</v>
      </c>
      <c r="D43" s="572" t="s">
        <v>1035</v>
      </c>
      <c r="E43" s="572" t="s">
        <v>1035</v>
      </c>
      <c r="F43" s="572" t="s">
        <v>1035</v>
      </c>
      <c r="G43" s="572" t="s">
        <v>1035</v>
      </c>
      <c r="H43" s="572" t="s">
        <v>1035</v>
      </c>
      <c r="I43" s="552">
        <v>0.89</v>
      </c>
      <c r="J43" s="571">
        <v>0.98080000000000001</v>
      </c>
      <c r="K43" s="581">
        <f>0.89*100/1.3</f>
        <v>68.461538461538453</v>
      </c>
      <c r="L43" s="573">
        <v>68</v>
      </c>
    </row>
    <row r="44" spans="1:12" ht="31.5" customHeight="1">
      <c r="A44" s="970"/>
      <c r="B44" s="972"/>
      <c r="C44" s="568" t="s">
        <v>1037</v>
      </c>
      <c r="D44" s="570">
        <v>0.75</v>
      </c>
      <c r="E44" s="570">
        <v>0.75</v>
      </c>
      <c r="F44" s="570">
        <v>0.75</v>
      </c>
      <c r="G44" s="570">
        <v>0.75</v>
      </c>
      <c r="H44" s="570">
        <v>0.75</v>
      </c>
      <c r="I44" s="552">
        <v>0.7</v>
      </c>
      <c r="J44" s="571">
        <v>0.71830000000000005</v>
      </c>
      <c r="K44" s="472"/>
      <c r="L44" s="573">
        <v>0.93</v>
      </c>
    </row>
    <row r="45" spans="1:12" ht="32.25" customHeight="1">
      <c r="A45" s="970"/>
      <c r="B45" s="972" t="s">
        <v>1038</v>
      </c>
      <c r="C45" s="575" t="s">
        <v>45</v>
      </c>
      <c r="D45" s="575" t="s">
        <v>640</v>
      </c>
      <c r="E45" s="575" t="s">
        <v>991</v>
      </c>
      <c r="F45" s="575" t="s">
        <v>642</v>
      </c>
      <c r="G45" s="575" t="s">
        <v>643</v>
      </c>
      <c r="H45" s="576" t="s">
        <v>1002</v>
      </c>
      <c r="I45" s="509"/>
      <c r="J45" s="573"/>
    </row>
    <row r="46" spans="1:12" ht="81.75" customHeight="1">
      <c r="A46" s="970"/>
      <c r="B46" s="972"/>
      <c r="C46" s="568" t="s">
        <v>1039</v>
      </c>
      <c r="D46" s="570">
        <v>0.84</v>
      </c>
      <c r="E46" s="570">
        <v>0.84</v>
      </c>
      <c r="F46" s="570">
        <v>0.84</v>
      </c>
      <c r="G46" s="570">
        <v>0.84</v>
      </c>
      <c r="H46" s="570">
        <v>0.84</v>
      </c>
      <c r="I46" s="545">
        <v>0.42</v>
      </c>
      <c r="J46" s="573">
        <v>0.5</v>
      </c>
    </row>
    <row r="47" spans="1:12" ht="38.25" customHeight="1">
      <c r="A47" s="970"/>
      <c r="B47" s="972"/>
      <c r="C47" s="568" t="s">
        <v>1040</v>
      </c>
      <c r="D47" s="570" t="s">
        <v>1041</v>
      </c>
      <c r="E47" s="570" t="s">
        <v>1041</v>
      </c>
      <c r="F47" s="570" t="s">
        <v>1041</v>
      </c>
      <c r="G47" s="570" t="s">
        <v>1041</v>
      </c>
      <c r="H47" s="570" t="s">
        <v>1041</v>
      </c>
      <c r="I47" s="545">
        <v>0.42</v>
      </c>
      <c r="J47" s="573">
        <v>0.59</v>
      </c>
    </row>
    <row r="48" spans="1:12" ht="42" customHeight="1">
      <c r="A48" s="970"/>
      <c r="B48" s="972"/>
      <c r="C48" s="568" t="s">
        <v>314</v>
      </c>
      <c r="D48" s="572" t="s">
        <v>1042</v>
      </c>
      <c r="E48" s="572" t="s">
        <v>1042</v>
      </c>
      <c r="F48" s="572" t="s">
        <v>1042</v>
      </c>
      <c r="G48" s="572" t="s">
        <v>1042</v>
      </c>
      <c r="H48" s="572" t="s">
        <v>1042</v>
      </c>
      <c r="I48" s="545">
        <v>0.42</v>
      </c>
      <c r="J48" s="573">
        <v>0.5</v>
      </c>
    </row>
    <row r="49" spans="1:13" ht="42" customHeight="1">
      <c r="A49" s="970"/>
      <c r="B49" s="972"/>
      <c r="C49" s="575" t="s">
        <v>311</v>
      </c>
      <c r="D49" s="575" t="s">
        <v>640</v>
      </c>
      <c r="E49" s="575" t="s">
        <v>991</v>
      </c>
      <c r="F49" s="575" t="s">
        <v>642</v>
      </c>
      <c r="G49" s="575" t="s">
        <v>643</v>
      </c>
      <c r="H49" s="576" t="s">
        <v>1002</v>
      </c>
      <c r="I49" s="509"/>
      <c r="J49" s="573"/>
    </row>
    <row r="50" spans="1:13" ht="42" customHeight="1">
      <c r="A50" s="970"/>
      <c r="B50" s="972"/>
      <c r="C50" s="568" t="s">
        <v>1043</v>
      </c>
      <c r="D50" s="579">
        <v>1</v>
      </c>
      <c r="E50" s="579">
        <v>1</v>
      </c>
      <c r="F50" s="579">
        <v>1</v>
      </c>
      <c r="G50" s="579">
        <v>1</v>
      </c>
      <c r="H50" s="574">
        <v>1</v>
      </c>
      <c r="I50" s="545">
        <v>0.42</v>
      </c>
      <c r="J50" s="573">
        <v>0.5</v>
      </c>
    </row>
    <row r="51" spans="1:13" ht="32.25" customHeight="1">
      <c r="A51" s="970"/>
      <c r="B51" s="972"/>
      <c r="C51" s="568" t="s">
        <v>1044</v>
      </c>
      <c r="D51" s="579">
        <v>1</v>
      </c>
      <c r="E51" s="579">
        <v>1</v>
      </c>
      <c r="F51" s="579">
        <v>1</v>
      </c>
      <c r="G51" s="579">
        <v>1</v>
      </c>
      <c r="H51" s="574">
        <v>1</v>
      </c>
      <c r="I51" s="545">
        <v>0</v>
      </c>
      <c r="J51" s="573">
        <v>0</v>
      </c>
    </row>
    <row r="52" spans="1:13" ht="42" customHeight="1">
      <c r="A52" s="970"/>
      <c r="B52" s="972"/>
      <c r="C52" s="568" t="s">
        <v>1045</v>
      </c>
      <c r="D52" s="570">
        <v>1</v>
      </c>
      <c r="E52" s="570">
        <v>1</v>
      </c>
      <c r="F52" s="570">
        <v>1</v>
      </c>
      <c r="G52" s="570">
        <v>1</v>
      </c>
      <c r="H52" s="570">
        <v>1</v>
      </c>
      <c r="I52" s="545">
        <v>0.3</v>
      </c>
      <c r="J52" s="573">
        <v>0.38</v>
      </c>
    </row>
    <row r="53" spans="1:13" ht="42" customHeight="1">
      <c r="A53" s="970"/>
      <c r="B53" s="972"/>
      <c r="C53" s="568" t="s">
        <v>1046</v>
      </c>
      <c r="D53" s="570">
        <v>1</v>
      </c>
      <c r="E53" s="570">
        <v>1</v>
      </c>
      <c r="F53" s="570">
        <v>1</v>
      </c>
      <c r="G53" s="570">
        <v>1</v>
      </c>
      <c r="H53" s="570">
        <v>1</v>
      </c>
      <c r="I53" s="545">
        <v>0.3</v>
      </c>
      <c r="J53" s="573">
        <v>0.36</v>
      </c>
    </row>
    <row r="54" spans="1:13" ht="46.5" customHeight="1">
      <c r="A54" s="970"/>
      <c r="B54" s="972"/>
      <c r="C54" s="568" t="s">
        <v>1047</v>
      </c>
      <c r="D54" s="570">
        <v>0.84</v>
      </c>
      <c r="E54" s="570">
        <v>0.84</v>
      </c>
      <c r="F54" s="570">
        <v>0.84</v>
      </c>
      <c r="G54" s="570">
        <v>0.84</v>
      </c>
      <c r="H54" s="570">
        <v>0.84</v>
      </c>
      <c r="I54" s="545">
        <v>0.42</v>
      </c>
      <c r="J54" s="573">
        <v>0.5</v>
      </c>
    </row>
    <row r="55" spans="1:13" ht="42" customHeight="1">
      <c r="A55" s="970"/>
      <c r="B55" s="972"/>
      <c r="C55" s="568" t="s">
        <v>1048</v>
      </c>
      <c r="D55" s="570">
        <v>1</v>
      </c>
      <c r="E55" s="570">
        <v>1</v>
      </c>
      <c r="F55" s="570">
        <v>1</v>
      </c>
      <c r="G55" s="570">
        <v>1</v>
      </c>
      <c r="H55" s="570">
        <v>1</v>
      </c>
      <c r="I55" s="545">
        <v>0.36</v>
      </c>
      <c r="J55" s="573">
        <v>0.42</v>
      </c>
    </row>
    <row r="56" spans="1:13" ht="42" customHeight="1">
      <c r="A56" s="970"/>
      <c r="B56" s="972"/>
      <c r="C56" s="568" t="s">
        <v>1049</v>
      </c>
      <c r="D56" s="570">
        <v>1</v>
      </c>
      <c r="E56" s="570">
        <v>1</v>
      </c>
      <c r="F56" s="570">
        <v>1</v>
      </c>
      <c r="G56" s="570">
        <v>1</v>
      </c>
      <c r="H56" s="570">
        <v>1</v>
      </c>
      <c r="I56" s="545">
        <v>0.36</v>
      </c>
      <c r="J56" s="573">
        <v>0.42</v>
      </c>
    </row>
    <row r="57" spans="1:13" ht="39" customHeight="1" thickBot="1">
      <c r="A57" s="971"/>
      <c r="B57" s="973"/>
      <c r="C57" s="582" t="s">
        <v>1050</v>
      </c>
      <c r="D57" s="570">
        <v>1</v>
      </c>
      <c r="E57" s="570">
        <v>1</v>
      </c>
      <c r="F57" s="570">
        <v>1</v>
      </c>
      <c r="G57" s="570">
        <v>1</v>
      </c>
      <c r="H57" s="583">
        <v>1</v>
      </c>
      <c r="I57" s="545">
        <v>0.36</v>
      </c>
      <c r="J57" s="573">
        <v>0.43</v>
      </c>
    </row>
    <row r="58" spans="1:13" ht="39" customHeight="1">
      <c r="A58" s="537" t="s">
        <v>1051</v>
      </c>
      <c r="B58" s="538" t="s">
        <v>1001</v>
      </c>
      <c r="C58" s="538" t="s">
        <v>45</v>
      </c>
      <c r="D58" s="538" t="s">
        <v>640</v>
      </c>
      <c r="E58" s="538" t="s">
        <v>991</v>
      </c>
      <c r="F58" s="538" t="s">
        <v>642</v>
      </c>
      <c r="G58" s="538" t="s">
        <v>643</v>
      </c>
      <c r="H58" s="539" t="s">
        <v>1002</v>
      </c>
      <c r="I58" s="509"/>
      <c r="J58" s="573"/>
    </row>
    <row r="59" spans="1:13" ht="30" customHeight="1">
      <c r="A59" s="966" t="s">
        <v>1052</v>
      </c>
      <c r="B59" s="968" t="s">
        <v>1053</v>
      </c>
      <c r="C59" s="542" t="s">
        <v>1054</v>
      </c>
      <c r="D59" s="557"/>
      <c r="E59" s="557"/>
      <c r="F59" s="557"/>
      <c r="G59" s="557"/>
      <c r="H59" s="557">
        <v>3</v>
      </c>
      <c r="I59" s="545">
        <v>0.67</v>
      </c>
      <c r="J59" s="584">
        <v>0.85699999999999998</v>
      </c>
    </row>
    <row r="60" spans="1:13" ht="51.75" customHeight="1">
      <c r="A60" s="966"/>
      <c r="B60" s="968"/>
      <c r="C60" s="542" t="s">
        <v>1055</v>
      </c>
      <c r="D60" s="544">
        <v>0.6</v>
      </c>
      <c r="E60" s="544">
        <v>0.6</v>
      </c>
      <c r="F60" s="544">
        <v>0.6</v>
      </c>
      <c r="G60" s="544">
        <v>0.6</v>
      </c>
      <c r="H60" s="544">
        <v>0.6</v>
      </c>
      <c r="I60" s="545">
        <v>0</v>
      </c>
      <c r="J60" s="573">
        <v>0</v>
      </c>
      <c r="K60" s="585"/>
      <c r="M60" s="573">
        <v>1</v>
      </c>
    </row>
    <row r="61" spans="1:13" ht="57" customHeight="1">
      <c r="A61" s="966"/>
      <c r="B61" s="968"/>
      <c r="C61" s="542" t="s">
        <v>315</v>
      </c>
      <c r="D61" s="557">
        <v>6</v>
      </c>
      <c r="E61" s="557">
        <v>6</v>
      </c>
      <c r="F61" s="557">
        <v>6</v>
      </c>
      <c r="G61" s="557">
        <v>6</v>
      </c>
      <c r="H61" s="557">
        <v>6</v>
      </c>
      <c r="I61" s="545">
        <v>0</v>
      </c>
      <c r="J61" s="584">
        <v>0.41670000000000001</v>
      </c>
      <c r="M61" s="573">
        <v>2</v>
      </c>
    </row>
    <row r="62" spans="1:13" ht="50.25" customHeight="1">
      <c r="A62" s="966"/>
      <c r="B62" s="968"/>
      <c r="C62" s="542" t="s">
        <v>316</v>
      </c>
      <c r="D62" s="544">
        <v>0.6</v>
      </c>
      <c r="E62" s="544">
        <v>0.6</v>
      </c>
      <c r="F62" s="544">
        <v>0.6</v>
      </c>
      <c r="G62" s="544">
        <v>0.6</v>
      </c>
      <c r="H62" s="544">
        <v>0.6</v>
      </c>
      <c r="I62" s="552">
        <v>0.80269999999999997</v>
      </c>
      <c r="J62" s="571">
        <v>0.78400000000000003</v>
      </c>
      <c r="K62" s="586"/>
      <c r="M62" s="573">
        <v>3</v>
      </c>
    </row>
    <row r="63" spans="1:13" ht="27.75" customHeight="1">
      <c r="A63" s="966"/>
      <c r="B63" s="968"/>
      <c r="C63" s="542" t="s">
        <v>1056</v>
      </c>
      <c r="D63" s="544">
        <v>0.9</v>
      </c>
      <c r="E63" s="544">
        <v>0.9</v>
      </c>
      <c r="F63" s="544">
        <v>0.9</v>
      </c>
      <c r="G63" s="544">
        <v>0.9</v>
      </c>
      <c r="H63" s="544">
        <v>0.9</v>
      </c>
      <c r="I63" s="545">
        <v>0.26</v>
      </c>
      <c r="J63" s="573">
        <v>0.34</v>
      </c>
      <c r="M63" s="573">
        <v>4</v>
      </c>
    </row>
    <row r="64" spans="1:13" ht="33.75" customHeight="1">
      <c r="A64" s="966"/>
      <c r="B64" s="968"/>
      <c r="C64" s="548" t="s">
        <v>311</v>
      </c>
      <c r="D64" s="548" t="s">
        <v>640</v>
      </c>
      <c r="E64" s="548" t="s">
        <v>991</v>
      </c>
      <c r="F64" s="548" t="s">
        <v>642</v>
      </c>
      <c r="G64" s="548" t="s">
        <v>643</v>
      </c>
      <c r="H64" s="549" t="s">
        <v>1002</v>
      </c>
      <c r="I64" s="545"/>
      <c r="J64" s="573"/>
      <c r="M64" s="573"/>
    </row>
    <row r="65" spans="1:13" ht="32.25" customHeight="1">
      <c r="A65" s="966"/>
      <c r="B65" s="968"/>
      <c r="C65" s="542" t="s">
        <v>1057</v>
      </c>
      <c r="D65" s="557">
        <v>0</v>
      </c>
      <c r="E65" s="557">
        <v>0</v>
      </c>
      <c r="F65" s="557">
        <v>0</v>
      </c>
      <c r="G65" s="557">
        <v>0</v>
      </c>
      <c r="H65" s="557">
        <v>0</v>
      </c>
      <c r="I65" s="545">
        <v>0</v>
      </c>
      <c r="J65" s="573">
        <v>0</v>
      </c>
      <c r="M65" s="573">
        <v>5</v>
      </c>
    </row>
    <row r="66" spans="1:13" ht="34.5" customHeight="1">
      <c r="A66" s="966"/>
      <c r="B66" s="968"/>
      <c r="C66" s="542" t="s">
        <v>1058</v>
      </c>
      <c r="D66" s="557">
        <v>0</v>
      </c>
      <c r="E66" s="557">
        <v>0</v>
      </c>
      <c r="F66" s="557">
        <v>0</v>
      </c>
      <c r="G66" s="557">
        <v>0</v>
      </c>
      <c r="H66" s="557">
        <v>0</v>
      </c>
      <c r="I66" s="545">
        <v>0.42</v>
      </c>
      <c r="J66" s="573">
        <v>0.5</v>
      </c>
      <c r="M66" s="573"/>
    </row>
    <row r="67" spans="1:13" ht="30.75" customHeight="1">
      <c r="A67" s="966"/>
      <c r="B67" s="968"/>
      <c r="C67" s="542" t="s">
        <v>1059</v>
      </c>
      <c r="D67" s="557">
        <v>0</v>
      </c>
      <c r="E67" s="557">
        <v>0</v>
      </c>
      <c r="F67" s="557">
        <v>0</v>
      </c>
      <c r="G67" s="557">
        <v>0</v>
      </c>
      <c r="H67" s="557">
        <v>0</v>
      </c>
      <c r="I67" s="545">
        <v>0</v>
      </c>
      <c r="J67" s="573">
        <v>0</v>
      </c>
      <c r="M67" s="573">
        <v>6</v>
      </c>
    </row>
    <row r="68" spans="1:13" ht="30" customHeight="1">
      <c r="A68" s="966"/>
      <c r="B68" s="968"/>
      <c r="C68" s="542" t="s">
        <v>1060</v>
      </c>
      <c r="D68" s="557">
        <v>0</v>
      </c>
      <c r="E68" s="557">
        <v>0</v>
      </c>
      <c r="F68" s="557">
        <v>0</v>
      </c>
      <c r="G68" s="557">
        <v>0</v>
      </c>
      <c r="H68" s="557">
        <v>0</v>
      </c>
      <c r="I68" s="545">
        <v>0</v>
      </c>
      <c r="J68" s="573">
        <v>0</v>
      </c>
      <c r="M68" s="573">
        <v>7</v>
      </c>
    </row>
    <row r="69" spans="1:13" ht="49.5" customHeight="1">
      <c r="A69" s="966"/>
      <c r="B69" s="968"/>
      <c r="C69" s="542" t="s">
        <v>1061</v>
      </c>
      <c r="D69" s="544">
        <v>0.95</v>
      </c>
      <c r="E69" s="544">
        <v>0.95</v>
      </c>
      <c r="F69" s="544">
        <v>0.95</v>
      </c>
      <c r="G69" s="544">
        <v>0.95</v>
      </c>
      <c r="H69" s="544">
        <v>0.95</v>
      </c>
      <c r="I69" s="545">
        <v>0</v>
      </c>
      <c r="J69" s="573">
        <v>0</v>
      </c>
      <c r="K69" s="586"/>
      <c r="M69" s="573">
        <v>8</v>
      </c>
    </row>
    <row r="70" spans="1:13" ht="25.5" customHeight="1">
      <c r="A70" s="966"/>
      <c r="B70" s="968"/>
      <c r="C70" s="542" t="s">
        <v>154</v>
      </c>
      <c r="D70" s="544">
        <v>1</v>
      </c>
      <c r="E70" s="544">
        <v>1</v>
      </c>
      <c r="F70" s="544">
        <v>1</v>
      </c>
      <c r="G70" s="544">
        <v>1</v>
      </c>
      <c r="H70" s="544">
        <v>1</v>
      </c>
      <c r="I70" s="545">
        <v>1</v>
      </c>
      <c r="J70" s="573">
        <v>1</v>
      </c>
    </row>
    <row r="71" spans="1:13" ht="27.75" customHeight="1">
      <c r="A71" s="966"/>
      <c r="B71" s="968"/>
      <c r="C71" s="542" t="s">
        <v>1062</v>
      </c>
      <c r="D71" s="544" t="s">
        <v>1063</v>
      </c>
      <c r="E71" s="544" t="s">
        <v>1063</v>
      </c>
      <c r="F71" s="544" t="s">
        <v>1063</v>
      </c>
      <c r="G71" s="544" t="s">
        <v>1063</v>
      </c>
      <c r="H71" s="544" t="s">
        <v>1063</v>
      </c>
      <c r="I71" s="587">
        <v>3.2000000000000001E-2</v>
      </c>
      <c r="J71" s="584">
        <v>3.2000000000000001E-2</v>
      </c>
    </row>
    <row r="72" spans="1:13" ht="33" customHeight="1">
      <c r="A72" s="966"/>
      <c r="B72" s="968"/>
      <c r="C72" s="542" t="s">
        <v>1064</v>
      </c>
      <c r="D72" s="588" t="s">
        <v>1065</v>
      </c>
      <c r="E72" s="588" t="s">
        <v>1065</v>
      </c>
      <c r="F72" s="588" t="s">
        <v>1065</v>
      </c>
      <c r="G72" s="588" t="s">
        <v>1065</v>
      </c>
      <c r="H72" s="588" t="s">
        <v>1065</v>
      </c>
      <c r="I72" s="587">
        <v>4.9000000000000002E-2</v>
      </c>
      <c r="J72" s="571">
        <v>5.9499999999999997E-2</v>
      </c>
    </row>
    <row r="73" spans="1:13" ht="39" customHeight="1">
      <c r="A73" s="966"/>
      <c r="B73" s="968"/>
      <c r="C73" s="542" t="s">
        <v>1066</v>
      </c>
      <c r="D73" s="588" t="s">
        <v>1067</v>
      </c>
      <c r="E73" s="588" t="s">
        <v>1067</v>
      </c>
      <c r="F73" s="588" t="s">
        <v>1067</v>
      </c>
      <c r="G73" s="588" t="s">
        <v>1067</v>
      </c>
      <c r="H73" s="588" t="s">
        <v>1067</v>
      </c>
      <c r="I73" s="545">
        <v>0.04</v>
      </c>
      <c r="J73" s="584">
        <v>4.19E-2</v>
      </c>
    </row>
    <row r="74" spans="1:13" ht="37.5" customHeight="1">
      <c r="A74" s="966"/>
      <c r="B74" s="968"/>
      <c r="C74" s="542" t="s">
        <v>1068</v>
      </c>
      <c r="D74" s="588" t="s">
        <v>1069</v>
      </c>
      <c r="E74" s="588" t="s">
        <v>1069</v>
      </c>
      <c r="F74" s="588" t="s">
        <v>1069</v>
      </c>
      <c r="G74" s="588" t="s">
        <v>1069</v>
      </c>
      <c r="H74" s="588" t="s">
        <v>1069</v>
      </c>
      <c r="I74" s="545">
        <v>7.0000000000000007E-2</v>
      </c>
      <c r="J74" s="571">
        <v>7.5399999999999995E-2</v>
      </c>
    </row>
    <row r="75" spans="1:13" ht="33" customHeight="1">
      <c r="A75" s="966"/>
      <c r="B75" s="968"/>
      <c r="C75" s="542" t="s">
        <v>1070</v>
      </c>
      <c r="D75" s="588" t="s">
        <v>1071</v>
      </c>
      <c r="E75" s="588" t="s">
        <v>1071</v>
      </c>
      <c r="F75" s="588" t="s">
        <v>1071</v>
      </c>
      <c r="G75" s="588" t="s">
        <v>1071</v>
      </c>
      <c r="H75" s="588" t="s">
        <v>1071</v>
      </c>
      <c r="I75" s="545">
        <v>0.13</v>
      </c>
      <c r="J75" s="571">
        <v>0.1089</v>
      </c>
    </row>
    <row r="76" spans="1:13" ht="49.5" customHeight="1">
      <c r="A76" s="966"/>
      <c r="B76" s="968"/>
      <c r="C76" s="542" t="s">
        <v>1072</v>
      </c>
      <c r="D76" s="588" t="s">
        <v>1073</v>
      </c>
      <c r="E76" s="588" t="s">
        <v>1073</v>
      </c>
      <c r="F76" s="588" t="s">
        <v>1073</v>
      </c>
      <c r="G76" s="588" t="s">
        <v>1073</v>
      </c>
      <c r="H76" s="588" t="s">
        <v>1073</v>
      </c>
      <c r="I76" s="545">
        <v>0.23</v>
      </c>
      <c r="J76" s="571">
        <v>0.24579999999999999</v>
      </c>
    </row>
    <row r="77" spans="1:13" ht="33" customHeight="1">
      <c r="A77" s="966"/>
      <c r="B77" s="968"/>
      <c r="C77" s="542" t="s">
        <v>699</v>
      </c>
      <c r="D77" s="544">
        <v>0.88</v>
      </c>
      <c r="E77" s="544">
        <v>0.88</v>
      </c>
      <c r="F77" s="544">
        <v>0.88</v>
      </c>
      <c r="G77" s="544">
        <v>0.88</v>
      </c>
      <c r="H77" s="544">
        <v>0.88</v>
      </c>
      <c r="I77" s="545">
        <v>0.54</v>
      </c>
      <c r="J77" s="584">
        <v>0.66</v>
      </c>
    </row>
    <row r="78" spans="1:13" ht="33" customHeight="1">
      <c r="A78" s="966"/>
      <c r="B78" s="968"/>
      <c r="C78" s="542" t="s">
        <v>1074</v>
      </c>
      <c r="D78" s="544">
        <v>0.85</v>
      </c>
      <c r="E78" s="544">
        <v>0.85</v>
      </c>
      <c r="F78" s="544">
        <v>0.85</v>
      </c>
      <c r="G78" s="544">
        <v>0.85</v>
      </c>
      <c r="H78" s="544">
        <v>0.85</v>
      </c>
      <c r="I78" s="545">
        <v>0.72</v>
      </c>
      <c r="J78" s="584">
        <v>0.71350000000000002</v>
      </c>
    </row>
    <row r="79" spans="1:13" ht="33" customHeight="1">
      <c r="A79" s="966"/>
      <c r="B79" s="968"/>
      <c r="C79" s="542" t="s">
        <v>1075</v>
      </c>
      <c r="D79" s="544">
        <v>0.9</v>
      </c>
      <c r="E79" s="544">
        <v>0.9</v>
      </c>
      <c r="F79" s="544">
        <v>0.9</v>
      </c>
      <c r="G79" s="544">
        <v>0.9</v>
      </c>
      <c r="H79" s="544">
        <v>0.9</v>
      </c>
      <c r="I79" s="545">
        <v>0.96</v>
      </c>
      <c r="J79" s="584">
        <v>1</v>
      </c>
    </row>
    <row r="80" spans="1:13" ht="49.5" customHeight="1">
      <c r="A80" s="966"/>
      <c r="B80" s="968"/>
      <c r="C80" s="542" t="s">
        <v>1076</v>
      </c>
      <c r="D80" s="544">
        <v>0.9</v>
      </c>
      <c r="E80" s="544">
        <v>0.9</v>
      </c>
      <c r="F80" s="544">
        <v>0.9</v>
      </c>
      <c r="G80" s="544">
        <v>0.9</v>
      </c>
      <c r="H80" s="544">
        <v>0.9</v>
      </c>
      <c r="I80" s="545">
        <v>0.6</v>
      </c>
      <c r="J80" s="573">
        <v>1</v>
      </c>
    </row>
    <row r="81" spans="1:13" ht="38.25" customHeight="1">
      <c r="A81" s="966"/>
      <c r="B81" s="968"/>
      <c r="C81" s="542" t="s">
        <v>1077</v>
      </c>
      <c r="D81" s="544">
        <v>1</v>
      </c>
      <c r="E81" s="544">
        <v>1</v>
      </c>
      <c r="F81" s="544">
        <v>1</v>
      </c>
      <c r="G81" s="544">
        <v>1</v>
      </c>
      <c r="H81" s="544">
        <v>1</v>
      </c>
      <c r="I81" s="545">
        <v>0</v>
      </c>
      <c r="J81" s="573">
        <v>0</v>
      </c>
      <c r="M81" s="573">
        <v>0.09</v>
      </c>
    </row>
    <row r="82" spans="1:13" ht="37.5" customHeight="1">
      <c r="A82" s="966"/>
      <c r="B82" s="968"/>
      <c r="C82" s="542" t="s">
        <v>1078</v>
      </c>
      <c r="D82" s="550">
        <f>$H$82/4</f>
        <v>1299</v>
      </c>
      <c r="E82" s="550">
        <f t="shared" ref="E82:G82" si="17">$H$82/4</f>
        <v>1299</v>
      </c>
      <c r="F82" s="550">
        <f t="shared" si="17"/>
        <v>1299</v>
      </c>
      <c r="G82" s="550">
        <f t="shared" si="17"/>
        <v>1299</v>
      </c>
      <c r="H82" s="589">
        <v>5196</v>
      </c>
      <c r="I82" s="545">
        <v>0.26</v>
      </c>
      <c r="J82" s="573">
        <v>0.65</v>
      </c>
      <c r="M82" s="573"/>
    </row>
    <row r="83" spans="1:13" ht="37.5" customHeight="1">
      <c r="A83" s="966"/>
      <c r="B83" s="975" t="s">
        <v>1079</v>
      </c>
      <c r="C83" s="548" t="s">
        <v>45</v>
      </c>
      <c r="D83" s="548" t="s">
        <v>640</v>
      </c>
      <c r="E83" s="548" t="s">
        <v>991</v>
      </c>
      <c r="F83" s="548" t="s">
        <v>642</v>
      </c>
      <c r="G83" s="548" t="s">
        <v>643</v>
      </c>
      <c r="H83" s="549" t="s">
        <v>1002</v>
      </c>
      <c r="I83" s="545"/>
      <c r="J83" s="573"/>
      <c r="M83" s="573"/>
    </row>
    <row r="84" spans="1:13" ht="37.5" customHeight="1">
      <c r="A84" s="966"/>
      <c r="B84" s="976"/>
      <c r="C84" s="542" t="s">
        <v>1080</v>
      </c>
      <c r="D84" s="544" t="s">
        <v>1081</v>
      </c>
      <c r="E84" s="544" t="s">
        <v>1081</v>
      </c>
      <c r="F84" s="544" t="s">
        <v>1081</v>
      </c>
      <c r="G84" s="544" t="s">
        <v>1081</v>
      </c>
      <c r="H84" s="544" t="s">
        <v>1081</v>
      </c>
      <c r="I84" s="545">
        <v>0.42</v>
      </c>
      <c r="J84" s="573">
        <v>0.5</v>
      </c>
      <c r="M84" s="573">
        <v>10</v>
      </c>
    </row>
    <row r="85" spans="1:13" ht="51.75" customHeight="1">
      <c r="A85" s="966"/>
      <c r="B85" s="976"/>
      <c r="C85" s="542" t="s">
        <v>1082</v>
      </c>
      <c r="D85" s="544">
        <v>0.05</v>
      </c>
      <c r="E85" s="544">
        <v>0.05</v>
      </c>
      <c r="F85" s="544">
        <v>0.05</v>
      </c>
      <c r="G85" s="544">
        <v>0.05</v>
      </c>
      <c r="H85" s="544">
        <v>0.05</v>
      </c>
      <c r="I85" s="545">
        <v>0.42</v>
      </c>
      <c r="J85" s="573">
        <v>0.5</v>
      </c>
      <c r="M85" s="573">
        <v>0.11</v>
      </c>
    </row>
    <row r="86" spans="1:13" ht="37.5" customHeight="1">
      <c r="A86" s="966"/>
      <c r="B86" s="976"/>
      <c r="C86" s="542" t="s">
        <v>1083</v>
      </c>
      <c r="D86" s="589" t="s">
        <v>1084</v>
      </c>
      <c r="E86" s="589" t="s">
        <v>1084</v>
      </c>
      <c r="F86" s="589" t="s">
        <v>1084</v>
      </c>
      <c r="G86" s="589" t="s">
        <v>1084</v>
      </c>
      <c r="H86" s="589" t="s">
        <v>1084</v>
      </c>
      <c r="I86" s="545">
        <v>0.42</v>
      </c>
      <c r="J86" s="573">
        <v>0.5</v>
      </c>
      <c r="M86" s="573">
        <v>12</v>
      </c>
    </row>
    <row r="87" spans="1:13" ht="37.5" customHeight="1">
      <c r="A87" s="966"/>
      <c r="B87" s="976"/>
      <c r="C87" s="548" t="s">
        <v>311</v>
      </c>
      <c r="D87" s="548" t="s">
        <v>640</v>
      </c>
      <c r="E87" s="548" t="s">
        <v>991</v>
      </c>
      <c r="F87" s="548" t="s">
        <v>642</v>
      </c>
      <c r="G87" s="548" t="s">
        <v>643</v>
      </c>
      <c r="H87" s="549" t="s">
        <v>1002</v>
      </c>
      <c r="I87" s="545"/>
      <c r="J87" s="573"/>
      <c r="M87" s="573"/>
    </row>
    <row r="88" spans="1:13" ht="46.5" customHeight="1">
      <c r="A88" s="966"/>
      <c r="B88" s="976"/>
      <c r="C88" s="542" t="s">
        <v>170</v>
      </c>
      <c r="D88" s="550">
        <v>1</v>
      </c>
      <c r="E88" s="550">
        <v>1</v>
      </c>
      <c r="F88" s="550">
        <v>1</v>
      </c>
      <c r="G88" s="550">
        <v>1</v>
      </c>
      <c r="H88" s="551">
        <v>1</v>
      </c>
      <c r="I88" s="545">
        <v>0.2</v>
      </c>
      <c r="J88" s="573">
        <v>0.2</v>
      </c>
      <c r="K88" s="586"/>
      <c r="M88" s="573">
        <v>13</v>
      </c>
    </row>
    <row r="89" spans="1:13" ht="35.25" customHeight="1">
      <c r="A89" s="966"/>
      <c r="B89" s="976"/>
      <c r="C89" s="542" t="s">
        <v>171</v>
      </c>
      <c r="D89" s="551">
        <v>1</v>
      </c>
      <c r="E89" s="551">
        <v>1</v>
      </c>
      <c r="F89" s="551">
        <v>1</v>
      </c>
      <c r="G89" s="551">
        <v>1</v>
      </c>
      <c r="H89" s="551">
        <v>1</v>
      </c>
      <c r="I89" s="545">
        <v>0</v>
      </c>
      <c r="J89" s="573">
        <v>0</v>
      </c>
      <c r="M89" s="573">
        <v>14</v>
      </c>
    </row>
    <row r="90" spans="1:13" ht="45.75" customHeight="1">
      <c r="A90" s="966"/>
      <c r="B90" s="976"/>
      <c r="C90" s="542" t="s">
        <v>172</v>
      </c>
      <c r="D90" s="551">
        <v>0</v>
      </c>
      <c r="E90" s="551">
        <v>0</v>
      </c>
      <c r="F90" s="551">
        <v>0</v>
      </c>
      <c r="G90" s="551">
        <v>0</v>
      </c>
      <c r="H90" s="551">
        <v>0</v>
      </c>
      <c r="I90" s="545">
        <v>0</v>
      </c>
      <c r="J90" s="573">
        <v>0</v>
      </c>
      <c r="M90" s="573">
        <v>15</v>
      </c>
    </row>
    <row r="91" spans="1:13" ht="50.25" customHeight="1" thickBot="1">
      <c r="A91" s="974"/>
      <c r="B91" s="976"/>
      <c r="C91" s="590" t="s">
        <v>173</v>
      </c>
      <c r="D91" s="591">
        <v>0.6</v>
      </c>
      <c r="E91" s="591">
        <v>0.6</v>
      </c>
      <c r="F91" s="591">
        <v>0.6</v>
      </c>
      <c r="G91" s="591">
        <v>0.6</v>
      </c>
      <c r="H91" s="591">
        <v>0.6</v>
      </c>
      <c r="I91" s="545">
        <v>0</v>
      </c>
      <c r="J91" s="573"/>
      <c r="K91" s="586"/>
      <c r="L91" s="573">
        <v>0.16</v>
      </c>
    </row>
    <row r="92" spans="1:13" ht="50.25" customHeight="1">
      <c r="A92" s="592" t="s">
        <v>1085</v>
      </c>
      <c r="B92" s="593" t="s">
        <v>1001</v>
      </c>
      <c r="C92" s="593" t="s">
        <v>45</v>
      </c>
      <c r="D92" s="593" t="s">
        <v>640</v>
      </c>
      <c r="E92" s="593" t="s">
        <v>991</v>
      </c>
      <c r="F92" s="593" t="s">
        <v>642</v>
      </c>
      <c r="G92" s="593" t="s">
        <v>643</v>
      </c>
      <c r="H92" s="594" t="s">
        <v>1002</v>
      </c>
      <c r="I92" s="509"/>
      <c r="J92" s="573"/>
    </row>
    <row r="93" spans="1:13" ht="27.75" customHeight="1">
      <c r="A93" s="970" t="s">
        <v>1086</v>
      </c>
      <c r="B93" s="972" t="s">
        <v>1087</v>
      </c>
      <c r="C93" s="568" t="s">
        <v>178</v>
      </c>
      <c r="D93" s="595">
        <v>1</v>
      </c>
      <c r="E93" s="595">
        <v>1</v>
      </c>
      <c r="F93" s="595">
        <v>1</v>
      </c>
      <c r="G93" s="595">
        <v>1</v>
      </c>
      <c r="H93" s="595">
        <v>1</v>
      </c>
      <c r="I93" s="545">
        <v>0.32</v>
      </c>
      <c r="J93" s="573">
        <v>0.4</v>
      </c>
    </row>
    <row r="94" spans="1:13" ht="30" customHeight="1">
      <c r="A94" s="970"/>
      <c r="B94" s="972"/>
      <c r="C94" s="575" t="s">
        <v>311</v>
      </c>
      <c r="D94" s="575" t="s">
        <v>640</v>
      </c>
      <c r="E94" s="575" t="s">
        <v>991</v>
      </c>
      <c r="F94" s="575" t="s">
        <v>642</v>
      </c>
      <c r="G94" s="575" t="s">
        <v>643</v>
      </c>
      <c r="H94" s="576" t="s">
        <v>1002</v>
      </c>
      <c r="I94" s="509"/>
      <c r="J94" s="573"/>
    </row>
    <row r="95" spans="1:13" ht="31.5" customHeight="1">
      <c r="A95" s="970"/>
      <c r="B95" s="972"/>
      <c r="C95" s="568" t="s">
        <v>1088</v>
      </c>
      <c r="D95" s="579">
        <v>1</v>
      </c>
      <c r="E95" s="579">
        <v>1</v>
      </c>
      <c r="F95" s="579">
        <v>1</v>
      </c>
      <c r="G95" s="579">
        <v>1</v>
      </c>
      <c r="H95" s="595">
        <v>1</v>
      </c>
      <c r="I95" s="545">
        <v>0.32</v>
      </c>
      <c r="J95" s="573">
        <v>0.4</v>
      </c>
    </row>
    <row r="96" spans="1:13" ht="33" customHeight="1">
      <c r="A96" s="970"/>
      <c r="B96" s="972" t="s">
        <v>1089</v>
      </c>
      <c r="C96" s="575" t="s">
        <v>45</v>
      </c>
      <c r="D96" s="575" t="s">
        <v>640</v>
      </c>
      <c r="E96" s="575" t="s">
        <v>991</v>
      </c>
      <c r="F96" s="575" t="s">
        <v>642</v>
      </c>
      <c r="G96" s="575" t="s">
        <v>643</v>
      </c>
      <c r="H96" s="576" t="s">
        <v>1002</v>
      </c>
      <c r="I96" s="509"/>
      <c r="J96" s="573"/>
    </row>
    <row r="97" spans="1:10" ht="25.5" customHeight="1">
      <c r="A97" s="970"/>
      <c r="B97" s="972"/>
      <c r="C97" s="568" t="s">
        <v>185</v>
      </c>
      <c r="D97" s="572" t="s">
        <v>1090</v>
      </c>
      <c r="E97" s="572" t="s">
        <v>1090</v>
      </c>
      <c r="F97" s="572" t="s">
        <v>1090</v>
      </c>
      <c r="G97" s="572" t="s">
        <v>1090</v>
      </c>
      <c r="H97" s="572" t="s">
        <v>1090</v>
      </c>
      <c r="I97" s="545">
        <v>0.38</v>
      </c>
      <c r="J97" s="573">
        <v>0.46</v>
      </c>
    </row>
    <row r="98" spans="1:10" ht="31.5" customHeight="1">
      <c r="A98" s="970"/>
      <c r="B98" s="972"/>
      <c r="C98" s="575" t="s">
        <v>311</v>
      </c>
      <c r="D98" s="575" t="s">
        <v>640</v>
      </c>
      <c r="E98" s="575" t="s">
        <v>991</v>
      </c>
      <c r="F98" s="575" t="s">
        <v>642</v>
      </c>
      <c r="G98" s="575" t="s">
        <v>643</v>
      </c>
      <c r="H98" s="576" t="s">
        <v>1002</v>
      </c>
      <c r="I98" s="509"/>
      <c r="J98" s="573"/>
    </row>
    <row r="99" spans="1:10" ht="34.5" customHeight="1">
      <c r="A99" s="970"/>
      <c r="B99" s="972"/>
      <c r="C99" s="568" t="s">
        <v>187</v>
      </c>
      <c r="D99" s="574">
        <v>0</v>
      </c>
      <c r="E99" s="574">
        <v>0</v>
      </c>
      <c r="F99" s="574">
        <v>0</v>
      </c>
      <c r="G99" s="574">
        <v>0</v>
      </c>
      <c r="H99" s="574">
        <v>0</v>
      </c>
      <c r="I99" s="545">
        <v>0</v>
      </c>
      <c r="J99" s="573">
        <v>0</v>
      </c>
    </row>
    <row r="100" spans="1:10" ht="24.75" customHeight="1">
      <c r="A100" s="970"/>
      <c r="B100" s="972"/>
      <c r="C100" s="568" t="s">
        <v>188</v>
      </c>
      <c r="D100" s="577">
        <f>$H$100/4</f>
        <v>2.5000000000000001E-2</v>
      </c>
      <c r="E100" s="577">
        <f t="shared" ref="E100:G100" si="18">$H$100/4</f>
        <v>2.5000000000000001E-2</v>
      </c>
      <c r="F100" s="577">
        <f t="shared" si="18"/>
        <v>2.5000000000000001E-2</v>
      </c>
      <c r="G100" s="577">
        <f t="shared" si="18"/>
        <v>2.5000000000000001E-2</v>
      </c>
      <c r="H100" s="570">
        <v>0.1</v>
      </c>
      <c r="I100" s="545">
        <v>0</v>
      </c>
      <c r="J100" s="573">
        <v>0.08</v>
      </c>
    </row>
    <row r="101" spans="1:10" ht="37.5" customHeight="1">
      <c r="A101" s="970"/>
      <c r="B101" s="972"/>
      <c r="C101" s="568" t="s">
        <v>189</v>
      </c>
      <c r="D101" s="579">
        <f>$H$101/4</f>
        <v>1</v>
      </c>
      <c r="E101" s="579">
        <f t="shared" ref="E101:G101" si="19">$H$101/4</f>
        <v>1</v>
      </c>
      <c r="F101" s="579">
        <f t="shared" si="19"/>
        <v>1</v>
      </c>
      <c r="G101" s="579">
        <f t="shared" si="19"/>
        <v>1</v>
      </c>
      <c r="H101" s="574">
        <v>4</v>
      </c>
      <c r="I101" s="545">
        <v>0</v>
      </c>
      <c r="J101" s="573">
        <v>0.08</v>
      </c>
    </row>
    <row r="102" spans="1:10" ht="34.5" customHeight="1">
      <c r="A102" s="970"/>
      <c r="B102" s="972" t="s">
        <v>1091</v>
      </c>
      <c r="C102" s="575" t="s">
        <v>45</v>
      </c>
      <c r="D102" s="575" t="s">
        <v>640</v>
      </c>
      <c r="E102" s="575" t="s">
        <v>991</v>
      </c>
      <c r="F102" s="575" t="s">
        <v>642</v>
      </c>
      <c r="G102" s="575" t="s">
        <v>643</v>
      </c>
      <c r="H102" s="576" t="s">
        <v>1002</v>
      </c>
      <c r="I102" s="509"/>
      <c r="J102" s="573"/>
    </row>
    <row r="103" spans="1:10" ht="39.75" customHeight="1">
      <c r="A103" s="970"/>
      <c r="B103" s="972"/>
      <c r="C103" s="568" t="s">
        <v>196</v>
      </c>
      <c r="D103" s="570" t="s">
        <v>1092</v>
      </c>
      <c r="E103" s="570" t="s">
        <v>1092</v>
      </c>
      <c r="F103" s="570" t="s">
        <v>1092</v>
      </c>
      <c r="G103" s="570" t="s">
        <v>1092</v>
      </c>
      <c r="H103" s="570" t="s">
        <v>1092</v>
      </c>
      <c r="I103" s="545">
        <v>0</v>
      </c>
      <c r="J103" s="573">
        <v>0</v>
      </c>
    </row>
    <row r="104" spans="1:10" ht="37.5" customHeight="1">
      <c r="A104" s="970"/>
      <c r="B104" s="972"/>
      <c r="C104" s="568" t="s">
        <v>197</v>
      </c>
      <c r="D104" s="570" t="s">
        <v>1093</v>
      </c>
      <c r="E104" s="570" t="s">
        <v>1093</v>
      </c>
      <c r="F104" s="570" t="s">
        <v>1093</v>
      </c>
      <c r="G104" s="570" t="s">
        <v>1093</v>
      </c>
      <c r="H104" s="570" t="s">
        <v>1093</v>
      </c>
      <c r="I104" s="545">
        <v>1</v>
      </c>
      <c r="J104" s="573">
        <v>1</v>
      </c>
    </row>
    <row r="105" spans="1:10" ht="35.25" customHeight="1">
      <c r="A105" s="970"/>
      <c r="B105" s="972"/>
      <c r="C105" s="575" t="s">
        <v>311</v>
      </c>
      <c r="D105" s="575" t="s">
        <v>640</v>
      </c>
      <c r="E105" s="575" t="s">
        <v>991</v>
      </c>
      <c r="F105" s="575" t="s">
        <v>642</v>
      </c>
      <c r="G105" s="575" t="s">
        <v>643</v>
      </c>
      <c r="H105" s="576" t="s">
        <v>1002</v>
      </c>
      <c r="I105" s="509"/>
      <c r="J105" s="573"/>
    </row>
    <row r="106" spans="1:10" ht="37.5" customHeight="1">
      <c r="A106" s="970"/>
      <c r="B106" s="972"/>
      <c r="C106" s="568" t="s">
        <v>198</v>
      </c>
      <c r="D106" s="574">
        <v>0</v>
      </c>
      <c r="E106" s="574">
        <v>0</v>
      </c>
      <c r="F106" s="574">
        <v>0</v>
      </c>
      <c r="G106" s="574">
        <v>0</v>
      </c>
      <c r="H106" s="574">
        <v>0</v>
      </c>
      <c r="I106" s="545">
        <v>0.32</v>
      </c>
      <c r="J106" s="573">
        <v>0.42</v>
      </c>
    </row>
    <row r="107" spans="1:10" ht="26.25" customHeight="1">
      <c r="A107" s="970"/>
      <c r="B107" s="972"/>
      <c r="C107" s="568" t="s">
        <v>200</v>
      </c>
      <c r="D107" s="569">
        <f>$H$107/4</f>
        <v>0.05</v>
      </c>
      <c r="E107" s="569">
        <f t="shared" ref="E107:G107" si="20">$H$107/4</f>
        <v>0.05</v>
      </c>
      <c r="F107" s="569">
        <f t="shared" si="20"/>
        <v>0.05</v>
      </c>
      <c r="G107" s="569">
        <f t="shared" si="20"/>
        <v>0.05</v>
      </c>
      <c r="H107" s="570">
        <v>0.2</v>
      </c>
      <c r="I107" s="545">
        <v>16.8</v>
      </c>
      <c r="J107" s="596">
        <v>14.42</v>
      </c>
    </row>
    <row r="108" spans="1:10" ht="37.5" customHeight="1">
      <c r="A108" s="970"/>
      <c r="B108" s="972"/>
      <c r="C108" s="568" t="s">
        <v>201</v>
      </c>
      <c r="D108" s="570">
        <v>0.95</v>
      </c>
      <c r="E108" s="570">
        <v>0.95</v>
      </c>
      <c r="F108" s="570">
        <v>0.95</v>
      </c>
      <c r="G108" s="570">
        <v>0.95</v>
      </c>
      <c r="H108" s="570">
        <v>0.95</v>
      </c>
      <c r="I108" s="545">
        <v>0.57999999999999996</v>
      </c>
      <c r="J108" s="573">
        <v>0.66</v>
      </c>
    </row>
    <row r="109" spans="1:10" ht="24" customHeight="1">
      <c r="A109" s="970"/>
      <c r="B109" s="972"/>
      <c r="C109" s="568" t="s">
        <v>202</v>
      </c>
      <c r="D109" s="570" t="s">
        <v>1094</v>
      </c>
      <c r="E109" s="570" t="s">
        <v>1094</v>
      </c>
      <c r="F109" s="570" t="s">
        <v>1094</v>
      </c>
      <c r="G109" s="570" t="s">
        <v>1094</v>
      </c>
      <c r="H109" s="570" t="s">
        <v>1094</v>
      </c>
      <c r="I109" s="545">
        <v>0.41</v>
      </c>
      <c r="J109" s="573">
        <v>0.5</v>
      </c>
    </row>
    <row r="110" spans="1:10" ht="48.75" customHeight="1">
      <c r="A110" s="970"/>
      <c r="B110" s="972"/>
      <c r="C110" s="568" t="s">
        <v>1095</v>
      </c>
      <c r="D110" s="570">
        <v>0.95</v>
      </c>
      <c r="E110" s="570">
        <v>0.95</v>
      </c>
      <c r="F110" s="570">
        <v>0.95</v>
      </c>
      <c r="G110" s="570">
        <v>0.95</v>
      </c>
      <c r="H110" s="570">
        <v>0.95</v>
      </c>
      <c r="I110" s="545">
        <v>0.57999999999999996</v>
      </c>
      <c r="J110" s="573">
        <v>0.66</v>
      </c>
    </row>
    <row r="111" spans="1:10" ht="36" customHeight="1">
      <c r="A111" s="970"/>
      <c r="B111" s="972" t="s">
        <v>1096</v>
      </c>
      <c r="C111" s="575" t="s">
        <v>45</v>
      </c>
      <c r="D111" s="575" t="s">
        <v>640</v>
      </c>
      <c r="E111" s="575" t="s">
        <v>991</v>
      </c>
      <c r="F111" s="575" t="s">
        <v>642</v>
      </c>
      <c r="G111" s="575" t="s">
        <v>643</v>
      </c>
      <c r="H111" s="576" t="s">
        <v>1002</v>
      </c>
      <c r="I111" s="509"/>
      <c r="J111" s="573"/>
    </row>
    <row r="112" spans="1:10" ht="48.75" customHeight="1">
      <c r="A112" s="970"/>
      <c r="B112" s="972"/>
      <c r="C112" s="568" t="s">
        <v>1097</v>
      </c>
      <c r="D112" s="570" t="s">
        <v>1092</v>
      </c>
      <c r="E112" s="570" t="s">
        <v>1092</v>
      </c>
      <c r="F112" s="570" t="s">
        <v>1092</v>
      </c>
      <c r="G112" s="570" t="s">
        <v>1092</v>
      </c>
      <c r="H112" s="570" t="s">
        <v>1092</v>
      </c>
      <c r="I112" s="545">
        <v>0</v>
      </c>
      <c r="J112" s="573">
        <v>0.95</v>
      </c>
    </row>
    <row r="113" spans="1:10" ht="45" customHeight="1">
      <c r="A113" s="970"/>
      <c r="B113" s="972"/>
      <c r="C113" s="568" t="s">
        <v>1098</v>
      </c>
      <c r="D113" s="570" t="s">
        <v>1099</v>
      </c>
      <c r="E113" s="570" t="s">
        <v>1099</v>
      </c>
      <c r="F113" s="570" t="s">
        <v>1099</v>
      </c>
      <c r="G113" s="570" t="s">
        <v>1099</v>
      </c>
      <c r="H113" s="570" t="s">
        <v>1099</v>
      </c>
      <c r="I113" s="545">
        <v>0</v>
      </c>
      <c r="J113" s="573">
        <v>0</v>
      </c>
    </row>
    <row r="114" spans="1:10" ht="37.5" customHeight="1">
      <c r="A114" s="970"/>
      <c r="B114" s="972"/>
      <c r="C114" s="575" t="s">
        <v>311</v>
      </c>
      <c r="D114" s="575" t="s">
        <v>640</v>
      </c>
      <c r="E114" s="575" t="s">
        <v>991</v>
      </c>
      <c r="F114" s="575" t="s">
        <v>642</v>
      </c>
      <c r="G114" s="575" t="s">
        <v>643</v>
      </c>
      <c r="H114" s="576" t="s">
        <v>1002</v>
      </c>
      <c r="I114" s="509"/>
      <c r="J114" s="573"/>
    </row>
    <row r="115" spans="1:10" ht="34.5" customHeight="1">
      <c r="A115" s="970"/>
      <c r="B115" s="972"/>
      <c r="C115" s="568" t="s">
        <v>212</v>
      </c>
      <c r="D115" s="579">
        <v>1</v>
      </c>
      <c r="E115" s="579">
        <v>1</v>
      </c>
      <c r="F115" s="579">
        <v>1</v>
      </c>
      <c r="G115" s="579">
        <v>1</v>
      </c>
      <c r="H115" s="574">
        <v>1</v>
      </c>
      <c r="I115" s="545">
        <v>0</v>
      </c>
      <c r="J115" s="573">
        <v>0.25</v>
      </c>
    </row>
    <row r="116" spans="1:10" ht="33.75" customHeight="1">
      <c r="A116" s="970"/>
      <c r="B116" s="972"/>
      <c r="C116" s="568" t="s">
        <v>213</v>
      </c>
      <c r="D116" s="574">
        <v>1</v>
      </c>
      <c r="E116" s="574">
        <v>1</v>
      </c>
      <c r="F116" s="574">
        <v>1</v>
      </c>
      <c r="G116" s="574">
        <v>1</v>
      </c>
      <c r="H116" s="574">
        <v>1</v>
      </c>
      <c r="I116" s="545">
        <v>0</v>
      </c>
      <c r="J116" s="573">
        <v>0</v>
      </c>
    </row>
    <row r="117" spans="1:10" ht="37.5" customHeight="1">
      <c r="A117" s="970"/>
      <c r="B117" s="972"/>
      <c r="C117" s="568" t="s">
        <v>214</v>
      </c>
      <c r="D117" s="574">
        <v>1</v>
      </c>
      <c r="E117" s="574">
        <v>1</v>
      </c>
      <c r="F117" s="574">
        <v>1</v>
      </c>
      <c r="G117" s="574">
        <v>1</v>
      </c>
      <c r="H117" s="574">
        <v>1</v>
      </c>
      <c r="I117" s="545">
        <v>0</v>
      </c>
      <c r="J117" s="573">
        <v>0</v>
      </c>
    </row>
    <row r="118" spans="1:10" ht="36" customHeight="1">
      <c r="A118" s="970"/>
      <c r="B118" s="972"/>
      <c r="C118" s="568" t="s">
        <v>215</v>
      </c>
      <c r="D118" s="569">
        <f>$H$118/4</f>
        <v>0.25</v>
      </c>
      <c r="E118" s="569">
        <f t="shared" ref="E118:G118" si="21">$H$118/4</f>
        <v>0.25</v>
      </c>
      <c r="F118" s="569">
        <f t="shared" si="21"/>
        <v>0.25</v>
      </c>
      <c r="G118" s="569">
        <f t="shared" si="21"/>
        <v>0.25</v>
      </c>
      <c r="H118" s="570">
        <v>1</v>
      </c>
      <c r="I118" s="545">
        <v>0.41</v>
      </c>
      <c r="J118" s="573">
        <v>0.5</v>
      </c>
    </row>
    <row r="119" spans="1:10" ht="30" customHeight="1">
      <c r="A119" s="970"/>
      <c r="B119" s="972"/>
      <c r="C119" s="568" t="s">
        <v>1100</v>
      </c>
      <c r="D119" s="572">
        <f>$H$119/4</f>
        <v>0.17499999999999999</v>
      </c>
      <c r="E119" s="572">
        <f t="shared" ref="E119:G119" si="22">$H$119/4</f>
        <v>0.17499999999999999</v>
      </c>
      <c r="F119" s="572">
        <f t="shared" si="22"/>
        <v>0.17499999999999999</v>
      </c>
      <c r="G119" s="572">
        <f t="shared" si="22"/>
        <v>0.17499999999999999</v>
      </c>
      <c r="H119" s="570">
        <v>0.7</v>
      </c>
      <c r="I119" s="545">
        <v>0</v>
      </c>
      <c r="J119" s="573">
        <v>0.25</v>
      </c>
    </row>
    <row r="120" spans="1:10" ht="24" customHeight="1" thickBot="1">
      <c r="A120" s="971"/>
      <c r="B120" s="973"/>
      <c r="C120" s="582" t="s">
        <v>217</v>
      </c>
      <c r="D120" s="583">
        <f>$H$120/4</f>
        <v>0.25</v>
      </c>
      <c r="E120" s="583">
        <f t="shared" ref="E120:G120" si="23">$H$120/4</f>
        <v>0.25</v>
      </c>
      <c r="F120" s="583">
        <f t="shared" si="23"/>
        <v>0.25</v>
      </c>
      <c r="G120" s="583">
        <f t="shared" si="23"/>
        <v>0.25</v>
      </c>
      <c r="H120" s="583">
        <v>1</v>
      </c>
      <c r="I120" s="545">
        <v>0.41</v>
      </c>
      <c r="J120" s="573">
        <v>0.5</v>
      </c>
    </row>
    <row r="121" spans="1:10" ht="30.75" customHeight="1">
      <c r="A121" s="537" t="s">
        <v>1101</v>
      </c>
      <c r="B121" s="538" t="s">
        <v>1001</v>
      </c>
      <c r="C121" s="538" t="s">
        <v>45</v>
      </c>
      <c r="D121" s="538" t="s">
        <v>640</v>
      </c>
      <c r="E121" s="538" t="s">
        <v>991</v>
      </c>
      <c r="F121" s="538" t="s">
        <v>642</v>
      </c>
      <c r="G121" s="538" t="s">
        <v>643</v>
      </c>
      <c r="H121" s="539" t="s">
        <v>1002</v>
      </c>
      <c r="I121" s="509"/>
      <c r="J121" s="573"/>
    </row>
    <row r="122" spans="1:10" ht="52.5" customHeight="1">
      <c r="A122" s="966" t="s">
        <v>1102</v>
      </c>
      <c r="B122" s="968" t="s">
        <v>1103</v>
      </c>
      <c r="C122" s="542" t="s">
        <v>505</v>
      </c>
      <c r="D122" s="588" t="s">
        <v>1092</v>
      </c>
      <c r="E122" s="588" t="s">
        <v>1092</v>
      </c>
      <c r="F122" s="588" t="s">
        <v>1092</v>
      </c>
      <c r="G122" s="588" t="s">
        <v>1092</v>
      </c>
      <c r="H122" s="588" t="s">
        <v>1092</v>
      </c>
      <c r="I122" s="545">
        <v>0.08</v>
      </c>
      <c r="J122" s="573">
        <v>0.08</v>
      </c>
    </row>
    <row r="123" spans="1:10" ht="54" customHeight="1">
      <c r="A123" s="966"/>
      <c r="B123" s="968"/>
      <c r="C123" s="542" t="s">
        <v>1104</v>
      </c>
      <c r="D123" s="588" t="s">
        <v>1105</v>
      </c>
      <c r="E123" s="588" t="s">
        <v>1105</v>
      </c>
      <c r="F123" s="588" t="s">
        <v>1105</v>
      </c>
      <c r="G123" s="588" t="s">
        <v>1105</v>
      </c>
      <c r="H123" s="588" t="s">
        <v>1105</v>
      </c>
      <c r="I123" s="545">
        <v>0</v>
      </c>
      <c r="J123" s="573">
        <v>0</v>
      </c>
    </row>
    <row r="124" spans="1:10" ht="36" customHeight="1">
      <c r="A124" s="966"/>
      <c r="B124" s="968"/>
      <c r="C124" s="548" t="s">
        <v>311</v>
      </c>
      <c r="D124" s="548" t="s">
        <v>640</v>
      </c>
      <c r="E124" s="548" t="s">
        <v>991</v>
      </c>
      <c r="F124" s="548" t="s">
        <v>642</v>
      </c>
      <c r="G124" s="548" t="s">
        <v>643</v>
      </c>
      <c r="H124" s="549" t="s">
        <v>1002</v>
      </c>
      <c r="I124" s="509"/>
      <c r="J124" s="573"/>
    </row>
    <row r="125" spans="1:10" ht="64.5" customHeight="1">
      <c r="A125" s="966"/>
      <c r="B125" s="968"/>
      <c r="C125" s="542" t="s">
        <v>226</v>
      </c>
      <c r="D125" s="550">
        <v>1</v>
      </c>
      <c r="E125" s="550">
        <v>1</v>
      </c>
      <c r="F125" s="550">
        <v>1</v>
      </c>
      <c r="G125" s="550">
        <v>1</v>
      </c>
      <c r="H125" s="557">
        <v>1</v>
      </c>
      <c r="I125" s="545">
        <v>0</v>
      </c>
      <c r="J125" s="573">
        <v>0</v>
      </c>
    </row>
    <row r="126" spans="1:10" ht="48.75" customHeight="1">
      <c r="A126" s="966"/>
      <c r="B126" s="968"/>
      <c r="C126" s="542" t="s">
        <v>1106</v>
      </c>
      <c r="D126" s="550">
        <v>1</v>
      </c>
      <c r="E126" s="550">
        <v>1</v>
      </c>
      <c r="F126" s="550">
        <v>1</v>
      </c>
      <c r="G126" s="550">
        <v>1</v>
      </c>
      <c r="H126" s="557">
        <v>1</v>
      </c>
      <c r="I126" s="545">
        <v>0</v>
      </c>
      <c r="J126" s="573">
        <v>0</v>
      </c>
    </row>
    <row r="127" spans="1:10" ht="46.5" customHeight="1">
      <c r="A127" s="966"/>
      <c r="B127" s="968"/>
      <c r="C127" s="542" t="s">
        <v>1107</v>
      </c>
      <c r="D127" s="588">
        <f>$H$127/4</f>
        <v>7.4999999999999997E-2</v>
      </c>
      <c r="E127" s="588">
        <f t="shared" ref="E127:G127" si="24">$H$127/4</f>
        <v>7.4999999999999997E-2</v>
      </c>
      <c r="F127" s="588">
        <f t="shared" si="24"/>
        <v>7.4999999999999997E-2</v>
      </c>
      <c r="G127" s="588">
        <f t="shared" si="24"/>
        <v>7.4999999999999997E-2</v>
      </c>
      <c r="H127" s="544">
        <v>0.3</v>
      </c>
      <c r="I127" s="545">
        <v>0</v>
      </c>
      <c r="J127" s="573">
        <v>0</v>
      </c>
    </row>
    <row r="128" spans="1:10" ht="38.25" customHeight="1">
      <c r="A128" s="966"/>
      <c r="B128" s="968"/>
      <c r="C128" s="542" t="s">
        <v>1108</v>
      </c>
      <c r="D128" s="550">
        <v>1</v>
      </c>
      <c r="E128" s="550">
        <v>1</v>
      </c>
      <c r="F128" s="550">
        <v>1</v>
      </c>
      <c r="G128" s="550">
        <v>1</v>
      </c>
      <c r="H128" s="557">
        <v>1</v>
      </c>
      <c r="I128" s="545">
        <v>0.42</v>
      </c>
      <c r="J128" s="573">
        <v>0.5</v>
      </c>
    </row>
    <row r="129" spans="1:10" ht="39" customHeight="1">
      <c r="A129" s="966"/>
      <c r="B129" s="968"/>
      <c r="C129" s="542" t="s">
        <v>230</v>
      </c>
      <c r="D129" s="550">
        <v>1</v>
      </c>
      <c r="E129" s="550">
        <v>1</v>
      </c>
      <c r="F129" s="550">
        <v>1</v>
      </c>
      <c r="G129" s="550">
        <v>1</v>
      </c>
      <c r="H129" s="557">
        <v>1</v>
      </c>
      <c r="I129" s="545">
        <v>0</v>
      </c>
      <c r="J129" s="573">
        <v>0</v>
      </c>
    </row>
    <row r="130" spans="1:10" ht="63" customHeight="1">
      <c r="A130" s="966"/>
      <c r="B130" s="968"/>
      <c r="C130" s="542" t="s">
        <v>234</v>
      </c>
      <c r="D130" s="550">
        <v>1</v>
      </c>
      <c r="E130" s="550">
        <v>1</v>
      </c>
      <c r="F130" s="550">
        <v>1</v>
      </c>
      <c r="G130" s="550">
        <v>1</v>
      </c>
      <c r="H130" s="557">
        <v>1</v>
      </c>
      <c r="I130" s="545">
        <v>0.25</v>
      </c>
      <c r="J130" s="573">
        <v>0.25</v>
      </c>
    </row>
    <row r="131" spans="1:10" ht="32.25" customHeight="1">
      <c r="A131" s="966"/>
      <c r="B131" s="977" t="s">
        <v>1109</v>
      </c>
      <c r="C131" s="548" t="s">
        <v>45</v>
      </c>
      <c r="D131" s="548" t="s">
        <v>640</v>
      </c>
      <c r="E131" s="548" t="s">
        <v>991</v>
      </c>
      <c r="F131" s="548" t="s">
        <v>642</v>
      </c>
      <c r="G131" s="548" t="s">
        <v>643</v>
      </c>
      <c r="H131" s="549" t="s">
        <v>1002</v>
      </c>
      <c r="I131" s="509"/>
      <c r="J131" s="573"/>
    </row>
    <row r="132" spans="1:10" ht="23.25" customHeight="1">
      <c r="A132" s="966"/>
      <c r="B132" s="977"/>
      <c r="C132" s="542" t="s">
        <v>1110</v>
      </c>
      <c r="D132" s="544">
        <v>0.95</v>
      </c>
      <c r="E132" s="544">
        <v>0.95</v>
      </c>
      <c r="F132" s="544">
        <v>0.95</v>
      </c>
      <c r="G132" s="544">
        <v>0.95</v>
      </c>
      <c r="H132" s="544">
        <v>0.95</v>
      </c>
      <c r="I132" s="545">
        <v>0.39</v>
      </c>
      <c r="J132" s="573">
        <v>0.47</v>
      </c>
    </row>
    <row r="133" spans="1:10" ht="33" customHeight="1">
      <c r="A133" s="966"/>
      <c r="B133" s="977"/>
      <c r="C133" s="542" t="s">
        <v>1111</v>
      </c>
      <c r="D133" s="544">
        <v>1</v>
      </c>
      <c r="E133" s="544">
        <v>1</v>
      </c>
      <c r="F133" s="544">
        <v>1</v>
      </c>
      <c r="G133" s="544">
        <v>1</v>
      </c>
      <c r="H133" s="544">
        <v>1</v>
      </c>
      <c r="I133" s="545">
        <v>0.27</v>
      </c>
      <c r="J133" s="573">
        <v>0.33</v>
      </c>
    </row>
    <row r="134" spans="1:10" ht="31.5" customHeight="1">
      <c r="A134" s="966"/>
      <c r="B134" s="977"/>
      <c r="C134" s="548" t="s">
        <v>311</v>
      </c>
      <c r="D134" s="548" t="s">
        <v>640</v>
      </c>
      <c r="E134" s="548" t="s">
        <v>991</v>
      </c>
      <c r="F134" s="548" t="s">
        <v>642</v>
      </c>
      <c r="G134" s="548" t="s">
        <v>643</v>
      </c>
      <c r="H134" s="549" t="s">
        <v>1002</v>
      </c>
      <c r="I134" s="545"/>
      <c r="J134" s="573"/>
    </row>
    <row r="135" spans="1:10" ht="32.25" customHeight="1">
      <c r="A135" s="966"/>
      <c r="B135" s="977"/>
      <c r="C135" s="542" t="s">
        <v>1112</v>
      </c>
      <c r="D135" s="544">
        <v>0.94</v>
      </c>
      <c r="E135" s="544">
        <v>0.94</v>
      </c>
      <c r="F135" s="544">
        <v>0.94</v>
      </c>
      <c r="G135" s="544">
        <v>0.94</v>
      </c>
      <c r="H135" s="544">
        <v>0.94</v>
      </c>
      <c r="I135" s="545">
        <v>0.42</v>
      </c>
      <c r="J135" s="573">
        <v>0.5</v>
      </c>
    </row>
    <row r="136" spans="1:10" ht="27" customHeight="1" thickBot="1">
      <c r="A136" s="974"/>
      <c r="B136" s="978"/>
      <c r="C136" s="590" t="s">
        <v>1113</v>
      </c>
      <c r="D136" s="591">
        <v>1</v>
      </c>
      <c r="E136" s="591">
        <v>1</v>
      </c>
      <c r="F136" s="591">
        <v>1</v>
      </c>
      <c r="G136" s="591">
        <v>1</v>
      </c>
      <c r="H136" s="591">
        <v>1</v>
      </c>
      <c r="I136" s="545">
        <v>0.46</v>
      </c>
      <c r="J136" s="573">
        <v>0.6</v>
      </c>
    </row>
    <row r="137" spans="1:10" ht="32.25" customHeight="1">
      <c r="A137" s="592" t="s">
        <v>1114</v>
      </c>
      <c r="B137" s="593" t="s">
        <v>1001</v>
      </c>
      <c r="C137" s="593" t="s">
        <v>45</v>
      </c>
      <c r="D137" s="593" t="s">
        <v>640</v>
      </c>
      <c r="E137" s="593" t="s">
        <v>991</v>
      </c>
      <c r="F137" s="593" t="s">
        <v>642</v>
      </c>
      <c r="G137" s="593" t="s">
        <v>643</v>
      </c>
      <c r="H137" s="594" t="s">
        <v>1002</v>
      </c>
      <c r="I137" s="509"/>
      <c r="J137" s="573"/>
    </row>
    <row r="138" spans="1:10" ht="32.25" customHeight="1">
      <c r="A138" s="970" t="s">
        <v>1115</v>
      </c>
      <c r="B138" s="972" t="s">
        <v>1116</v>
      </c>
      <c r="C138" s="568" t="s">
        <v>255</v>
      </c>
      <c r="D138" s="579">
        <v>1</v>
      </c>
      <c r="E138" s="579">
        <v>2</v>
      </c>
      <c r="F138" s="579">
        <v>2</v>
      </c>
      <c r="G138" s="579">
        <v>1</v>
      </c>
      <c r="H138" s="597">
        <v>6</v>
      </c>
      <c r="I138" s="545">
        <v>0</v>
      </c>
      <c r="J138" s="573">
        <v>0</v>
      </c>
    </row>
    <row r="139" spans="1:10" ht="39" customHeight="1">
      <c r="A139" s="970"/>
      <c r="B139" s="972"/>
      <c r="C139" s="568" t="s">
        <v>1117</v>
      </c>
      <c r="D139" s="579">
        <v>1</v>
      </c>
      <c r="E139" s="579">
        <v>1</v>
      </c>
      <c r="F139" s="579">
        <v>1</v>
      </c>
      <c r="G139" s="579">
        <v>1</v>
      </c>
      <c r="H139" s="595">
        <v>4</v>
      </c>
      <c r="I139" s="545">
        <v>0</v>
      </c>
      <c r="J139" s="573">
        <v>0</v>
      </c>
    </row>
    <row r="140" spans="1:10" ht="31.5" customHeight="1">
      <c r="A140" s="970"/>
      <c r="B140" s="972"/>
      <c r="C140" s="575" t="s">
        <v>311</v>
      </c>
      <c r="D140" s="575" t="s">
        <v>640</v>
      </c>
      <c r="E140" s="575" t="s">
        <v>991</v>
      </c>
      <c r="F140" s="575" t="s">
        <v>642</v>
      </c>
      <c r="G140" s="575" t="s">
        <v>643</v>
      </c>
      <c r="H140" s="576" t="s">
        <v>1002</v>
      </c>
      <c r="I140" s="509"/>
      <c r="J140" s="573"/>
    </row>
    <row r="141" spans="1:10" ht="31.5" customHeight="1">
      <c r="A141" s="970"/>
      <c r="B141" s="972"/>
      <c r="C141" s="568" t="s">
        <v>1118</v>
      </c>
      <c r="D141" s="579">
        <v>1</v>
      </c>
      <c r="E141" s="579">
        <v>1</v>
      </c>
      <c r="F141" s="579">
        <v>1</v>
      </c>
      <c r="G141" s="579">
        <v>1</v>
      </c>
      <c r="H141" s="597">
        <v>4</v>
      </c>
      <c r="I141" s="545">
        <v>0</v>
      </c>
      <c r="J141" s="573">
        <v>0</v>
      </c>
    </row>
    <row r="142" spans="1:10" ht="31.5" customHeight="1">
      <c r="A142" s="970"/>
      <c r="B142" s="972" t="s">
        <v>1119</v>
      </c>
      <c r="C142" s="575" t="s">
        <v>45</v>
      </c>
      <c r="D142" s="575" t="s">
        <v>640</v>
      </c>
      <c r="E142" s="575" t="s">
        <v>991</v>
      </c>
      <c r="F142" s="575" t="s">
        <v>642</v>
      </c>
      <c r="G142" s="575" t="s">
        <v>643</v>
      </c>
      <c r="H142" s="576" t="s">
        <v>1002</v>
      </c>
      <c r="I142" s="509"/>
      <c r="J142" s="573"/>
    </row>
    <row r="143" spans="1:10" ht="31.5" customHeight="1">
      <c r="A143" s="970"/>
      <c r="B143" s="972"/>
      <c r="C143" s="568" t="s">
        <v>1120</v>
      </c>
      <c r="D143" s="598">
        <f>$H$143/4</f>
        <v>3.7499999999999999E-2</v>
      </c>
      <c r="E143" s="598">
        <f t="shared" ref="E143:G143" si="25">$H$143/4</f>
        <v>3.7499999999999999E-2</v>
      </c>
      <c r="F143" s="598">
        <f t="shared" si="25"/>
        <v>3.7499999999999999E-2</v>
      </c>
      <c r="G143" s="598">
        <f t="shared" si="25"/>
        <v>3.7499999999999999E-2</v>
      </c>
      <c r="H143" s="599">
        <v>0.15</v>
      </c>
      <c r="I143" s="545">
        <v>0</v>
      </c>
      <c r="J143" s="573">
        <v>0</v>
      </c>
    </row>
    <row r="144" spans="1:10" ht="31.5" customHeight="1">
      <c r="A144" s="970"/>
      <c r="B144" s="972"/>
      <c r="C144" s="575" t="s">
        <v>311</v>
      </c>
      <c r="D144" s="575" t="s">
        <v>640</v>
      </c>
      <c r="E144" s="575" t="s">
        <v>991</v>
      </c>
      <c r="F144" s="575" t="s">
        <v>642</v>
      </c>
      <c r="G144" s="575" t="s">
        <v>643</v>
      </c>
      <c r="H144" s="576" t="s">
        <v>1002</v>
      </c>
      <c r="I144" s="509"/>
      <c r="J144" s="573"/>
    </row>
    <row r="145" spans="1:11" ht="35.25" customHeight="1">
      <c r="A145" s="970"/>
      <c r="B145" s="972"/>
      <c r="C145" s="568" t="s">
        <v>264</v>
      </c>
      <c r="D145" s="600">
        <f>$H$145/4</f>
        <v>0.625</v>
      </c>
      <c r="E145" s="600">
        <f t="shared" ref="E145:G145" si="26">$H$145/4</f>
        <v>0.625</v>
      </c>
      <c r="F145" s="600">
        <f t="shared" si="26"/>
        <v>0.625</v>
      </c>
      <c r="G145" s="600">
        <f t="shared" si="26"/>
        <v>0.625</v>
      </c>
      <c r="H145" s="601">
        <v>2.5</v>
      </c>
      <c r="I145" s="545">
        <v>0.35</v>
      </c>
      <c r="J145" s="573">
        <v>0.43</v>
      </c>
    </row>
    <row r="146" spans="1:11" ht="31.5" customHeight="1" thickBot="1">
      <c r="A146" s="971"/>
      <c r="B146" s="973"/>
      <c r="C146" s="582" t="s">
        <v>1121</v>
      </c>
      <c r="D146" s="602">
        <v>0.85</v>
      </c>
      <c r="E146" s="602">
        <v>0.85</v>
      </c>
      <c r="F146" s="602">
        <v>0.85</v>
      </c>
      <c r="G146" s="602">
        <v>0.85</v>
      </c>
      <c r="H146" s="602">
        <v>0.85</v>
      </c>
      <c r="I146" s="545">
        <v>0</v>
      </c>
      <c r="J146" s="573">
        <v>0</v>
      </c>
      <c r="K146" s="603"/>
    </row>
    <row r="147" spans="1:11" ht="31.5" customHeight="1">
      <c r="A147" s="537" t="s">
        <v>1122</v>
      </c>
      <c r="B147" s="538" t="s">
        <v>1001</v>
      </c>
      <c r="C147" s="538" t="s">
        <v>45</v>
      </c>
      <c r="D147" s="538" t="s">
        <v>640</v>
      </c>
      <c r="E147" s="538" t="s">
        <v>991</v>
      </c>
      <c r="F147" s="538" t="s">
        <v>642</v>
      </c>
      <c r="G147" s="538" t="s">
        <v>643</v>
      </c>
      <c r="H147" s="539" t="s">
        <v>1002</v>
      </c>
      <c r="I147" s="509"/>
      <c r="J147" s="573"/>
    </row>
    <row r="148" spans="1:11" ht="33" customHeight="1">
      <c r="A148" s="966" t="s">
        <v>1123</v>
      </c>
      <c r="B148" s="979" t="s">
        <v>1124</v>
      </c>
      <c r="C148" s="542" t="s">
        <v>1125</v>
      </c>
      <c r="D148" s="544">
        <f>$H$148/4</f>
        <v>0.25</v>
      </c>
      <c r="E148" s="544">
        <f t="shared" ref="E148:G148" si="27">$H$148/4</f>
        <v>0.25</v>
      </c>
      <c r="F148" s="544">
        <f t="shared" si="27"/>
        <v>0.25</v>
      </c>
      <c r="G148" s="544">
        <f t="shared" si="27"/>
        <v>0.25</v>
      </c>
      <c r="H148" s="544">
        <v>1</v>
      </c>
      <c r="I148" s="545">
        <v>0</v>
      </c>
      <c r="J148" s="573">
        <v>0.1</v>
      </c>
    </row>
    <row r="149" spans="1:11" ht="33" customHeight="1">
      <c r="A149" s="966"/>
      <c r="B149" s="979"/>
      <c r="C149" s="548" t="s">
        <v>311</v>
      </c>
      <c r="D149" s="548" t="s">
        <v>640</v>
      </c>
      <c r="E149" s="548" t="s">
        <v>991</v>
      </c>
      <c r="F149" s="548" t="s">
        <v>642</v>
      </c>
      <c r="G149" s="548" t="s">
        <v>643</v>
      </c>
      <c r="H149" s="549" t="s">
        <v>1002</v>
      </c>
      <c r="I149" s="509"/>
      <c r="J149" s="573"/>
    </row>
    <row r="150" spans="1:11" ht="59.25" customHeight="1">
      <c r="A150" s="966"/>
      <c r="B150" s="979"/>
      <c r="C150" s="542" t="s">
        <v>270</v>
      </c>
      <c r="D150" s="550">
        <v>1</v>
      </c>
      <c r="E150" s="550">
        <v>1</v>
      </c>
      <c r="F150" s="550">
        <v>1</v>
      </c>
      <c r="G150" s="550">
        <v>1</v>
      </c>
      <c r="H150" s="557">
        <v>1</v>
      </c>
      <c r="I150" s="545">
        <v>0.41</v>
      </c>
      <c r="J150" s="573">
        <v>0.5</v>
      </c>
    </row>
    <row r="151" spans="1:11" ht="36.75" customHeight="1">
      <c r="A151" s="966"/>
      <c r="B151" s="979"/>
      <c r="C151" s="542" t="s">
        <v>1126</v>
      </c>
      <c r="D151" s="550">
        <v>1</v>
      </c>
      <c r="E151" s="550">
        <v>1</v>
      </c>
      <c r="F151" s="550">
        <v>1</v>
      </c>
      <c r="G151" s="550">
        <v>1</v>
      </c>
      <c r="H151" s="557">
        <v>1</v>
      </c>
      <c r="I151" s="545">
        <v>0.08</v>
      </c>
      <c r="J151" s="573">
        <v>0.16</v>
      </c>
    </row>
    <row r="152" spans="1:11" ht="34.5" customHeight="1" thickBot="1">
      <c r="A152" s="974"/>
      <c r="B152" s="980"/>
      <c r="C152" s="590" t="s">
        <v>1127</v>
      </c>
      <c r="D152" s="591">
        <f>$H$152/4</f>
        <v>0.25</v>
      </c>
      <c r="E152" s="591">
        <f t="shared" ref="E152:G152" si="28">$H$152/4</f>
        <v>0.25</v>
      </c>
      <c r="F152" s="591">
        <f t="shared" si="28"/>
        <v>0.25</v>
      </c>
      <c r="G152" s="591">
        <f t="shared" si="28"/>
        <v>0.25</v>
      </c>
      <c r="H152" s="591">
        <v>1</v>
      </c>
      <c r="I152" s="545">
        <v>0.4</v>
      </c>
      <c r="J152" s="573">
        <v>0.4</v>
      </c>
    </row>
    <row r="153" spans="1:11" ht="34.5" customHeight="1">
      <c r="A153" s="592" t="s">
        <v>1128</v>
      </c>
      <c r="B153" s="593" t="s">
        <v>1001</v>
      </c>
      <c r="C153" s="593" t="s">
        <v>45</v>
      </c>
      <c r="D153" s="593" t="s">
        <v>640</v>
      </c>
      <c r="E153" s="593" t="s">
        <v>991</v>
      </c>
      <c r="F153" s="593" t="s">
        <v>642</v>
      </c>
      <c r="G153" s="593" t="s">
        <v>643</v>
      </c>
      <c r="H153" s="594" t="s">
        <v>1002</v>
      </c>
      <c r="I153" s="509"/>
      <c r="J153" s="573"/>
    </row>
    <row r="154" spans="1:11" ht="30" customHeight="1">
      <c r="A154" s="970" t="s">
        <v>1129</v>
      </c>
      <c r="B154" s="972" t="s">
        <v>1130</v>
      </c>
      <c r="C154" s="568" t="s">
        <v>1131</v>
      </c>
      <c r="D154" s="599">
        <v>0.9</v>
      </c>
      <c r="E154" s="599">
        <v>0.9</v>
      </c>
      <c r="F154" s="599">
        <v>0.9</v>
      </c>
      <c r="G154" s="599">
        <v>0.9</v>
      </c>
      <c r="H154" s="599">
        <v>0.9</v>
      </c>
      <c r="I154" s="545">
        <v>0.68</v>
      </c>
      <c r="J154" s="573">
        <v>0.49</v>
      </c>
    </row>
    <row r="155" spans="1:11" ht="29.25" customHeight="1">
      <c r="A155" s="970"/>
      <c r="B155" s="972"/>
      <c r="C155" s="568" t="s">
        <v>1132</v>
      </c>
      <c r="D155" s="599">
        <v>0.83</v>
      </c>
      <c r="E155" s="599">
        <v>0.83</v>
      </c>
      <c r="F155" s="599">
        <v>0.83</v>
      </c>
      <c r="G155" s="599">
        <v>0.83</v>
      </c>
      <c r="H155" s="599">
        <v>0.83</v>
      </c>
      <c r="I155" s="545">
        <v>0</v>
      </c>
      <c r="J155" s="573">
        <v>0</v>
      </c>
    </row>
    <row r="156" spans="1:11" ht="31.5" customHeight="1">
      <c r="A156" s="970"/>
      <c r="B156" s="972"/>
      <c r="C156" s="575" t="s">
        <v>311</v>
      </c>
      <c r="D156" s="575" t="s">
        <v>640</v>
      </c>
      <c r="E156" s="575" t="s">
        <v>991</v>
      </c>
      <c r="F156" s="575" t="s">
        <v>642</v>
      </c>
      <c r="G156" s="575" t="s">
        <v>643</v>
      </c>
      <c r="H156" s="576" t="s">
        <v>1002</v>
      </c>
      <c r="I156" s="509"/>
      <c r="J156" s="573"/>
    </row>
    <row r="157" spans="1:11" ht="29.25" customHeight="1">
      <c r="A157" s="970"/>
      <c r="B157" s="972"/>
      <c r="C157" s="568" t="s">
        <v>285</v>
      </c>
      <c r="D157" s="570">
        <v>1</v>
      </c>
      <c r="E157" s="570">
        <v>1</v>
      </c>
      <c r="F157" s="570">
        <v>1</v>
      </c>
      <c r="G157" s="570">
        <v>1</v>
      </c>
      <c r="H157" s="570">
        <v>1</v>
      </c>
      <c r="I157" s="545">
        <v>0.01</v>
      </c>
      <c r="J157" s="573">
        <v>0.55000000000000004</v>
      </c>
    </row>
    <row r="158" spans="1:11" ht="25.5" customHeight="1">
      <c r="A158" s="970"/>
      <c r="B158" s="972"/>
      <c r="C158" s="568" t="s">
        <v>286</v>
      </c>
      <c r="D158" s="570">
        <v>1</v>
      </c>
      <c r="E158" s="570">
        <v>1</v>
      </c>
      <c r="F158" s="570">
        <v>1</v>
      </c>
      <c r="G158" s="570">
        <v>1</v>
      </c>
      <c r="H158" s="570">
        <v>1</v>
      </c>
      <c r="I158" s="545">
        <v>0</v>
      </c>
      <c r="J158" s="573">
        <v>0</v>
      </c>
    </row>
    <row r="159" spans="1:11" ht="31.5" customHeight="1">
      <c r="A159" s="970"/>
      <c r="B159" s="972" t="s">
        <v>1133</v>
      </c>
      <c r="C159" s="575" t="s">
        <v>45</v>
      </c>
      <c r="D159" s="575" t="s">
        <v>640</v>
      </c>
      <c r="E159" s="575" t="s">
        <v>991</v>
      </c>
      <c r="F159" s="575" t="s">
        <v>642</v>
      </c>
      <c r="G159" s="575" t="s">
        <v>643</v>
      </c>
      <c r="H159" s="576" t="s">
        <v>1002</v>
      </c>
      <c r="I159" s="509"/>
      <c r="J159" s="573"/>
    </row>
    <row r="160" spans="1:11" ht="48" customHeight="1">
      <c r="A160" s="970"/>
      <c r="B160" s="972"/>
      <c r="C160" s="568" t="s">
        <v>322</v>
      </c>
      <c r="D160" s="598">
        <f>$H$160/4</f>
        <v>0.1875</v>
      </c>
      <c r="E160" s="598">
        <f t="shared" ref="E160:G160" si="29">$H$160/4</f>
        <v>0.1875</v>
      </c>
      <c r="F160" s="598">
        <f t="shared" si="29"/>
        <v>0.1875</v>
      </c>
      <c r="G160" s="598">
        <f t="shared" si="29"/>
        <v>0.1875</v>
      </c>
      <c r="H160" s="570">
        <v>0.75</v>
      </c>
      <c r="I160" s="545">
        <v>0.31</v>
      </c>
      <c r="J160" s="573">
        <v>0.48</v>
      </c>
    </row>
    <row r="161" spans="1:10" ht="37.5" customHeight="1">
      <c r="A161" s="970"/>
      <c r="B161" s="972"/>
      <c r="C161" s="568" t="s">
        <v>323</v>
      </c>
      <c r="D161" s="598">
        <f>$H$161/4</f>
        <v>0.1875</v>
      </c>
      <c r="E161" s="598">
        <f t="shared" ref="E161:G161" si="30">$H$161/4</f>
        <v>0.1875</v>
      </c>
      <c r="F161" s="598">
        <f t="shared" si="30"/>
        <v>0.1875</v>
      </c>
      <c r="G161" s="598">
        <f t="shared" si="30"/>
        <v>0.1875</v>
      </c>
      <c r="H161" s="570">
        <v>0.75</v>
      </c>
      <c r="I161" s="545">
        <v>0</v>
      </c>
      <c r="J161" s="596">
        <v>1.25</v>
      </c>
    </row>
    <row r="162" spans="1:10" ht="29.25" customHeight="1">
      <c r="A162" s="970"/>
      <c r="B162" s="972"/>
      <c r="C162" s="568" t="s">
        <v>1134</v>
      </c>
      <c r="D162" s="570">
        <v>0.75</v>
      </c>
      <c r="E162" s="570">
        <v>0.75</v>
      </c>
      <c r="F162" s="570">
        <v>0.75</v>
      </c>
      <c r="G162" s="570">
        <v>0.75</v>
      </c>
      <c r="H162" s="570">
        <v>0.75</v>
      </c>
      <c r="I162" s="545">
        <v>0.43</v>
      </c>
      <c r="J162" s="573">
        <v>0.52</v>
      </c>
    </row>
    <row r="163" spans="1:10" ht="31.5" customHeight="1">
      <c r="A163" s="970"/>
      <c r="B163" s="972"/>
      <c r="C163" s="575" t="s">
        <v>311</v>
      </c>
      <c r="D163" s="575" t="s">
        <v>640</v>
      </c>
      <c r="E163" s="575" t="s">
        <v>991</v>
      </c>
      <c r="F163" s="575" t="s">
        <v>642</v>
      </c>
      <c r="G163" s="575" t="s">
        <v>643</v>
      </c>
      <c r="H163" s="576" t="s">
        <v>1002</v>
      </c>
      <c r="I163" s="509"/>
      <c r="J163" s="573"/>
    </row>
    <row r="164" spans="1:10" ht="49.5" customHeight="1">
      <c r="A164" s="970"/>
      <c r="B164" s="972"/>
      <c r="C164" s="568" t="s">
        <v>291</v>
      </c>
      <c r="D164" s="570">
        <f>$H$164/4</f>
        <v>0.2</v>
      </c>
      <c r="E164" s="570">
        <f t="shared" ref="E164:G164" si="31">$H$164/4</f>
        <v>0.2</v>
      </c>
      <c r="F164" s="570">
        <f t="shared" si="31"/>
        <v>0.2</v>
      </c>
      <c r="G164" s="570">
        <f t="shared" si="31"/>
        <v>0.2</v>
      </c>
      <c r="H164" s="599">
        <v>0.8</v>
      </c>
      <c r="I164" s="545">
        <v>0.34</v>
      </c>
      <c r="J164" s="573">
        <v>0.5</v>
      </c>
    </row>
    <row r="165" spans="1:10" ht="31.5" customHeight="1">
      <c r="A165" s="970"/>
      <c r="B165" s="972"/>
      <c r="C165" s="568" t="s">
        <v>292</v>
      </c>
      <c r="D165" s="579">
        <v>1</v>
      </c>
      <c r="E165" s="579">
        <v>1</v>
      </c>
      <c r="F165" s="579">
        <v>1</v>
      </c>
      <c r="G165" s="579">
        <v>1</v>
      </c>
      <c r="H165" s="597">
        <v>1</v>
      </c>
      <c r="I165" s="545">
        <v>0</v>
      </c>
      <c r="J165" s="573">
        <v>0</v>
      </c>
    </row>
    <row r="166" spans="1:10" ht="34.5" customHeight="1">
      <c r="A166" s="970"/>
      <c r="B166" s="972"/>
      <c r="C166" s="568" t="s">
        <v>293</v>
      </c>
      <c r="D166" s="598">
        <f>$H$166/4</f>
        <v>0.23749999999999999</v>
      </c>
      <c r="E166" s="598">
        <f t="shared" ref="E166:G166" si="32">$H$166/4</f>
        <v>0.23749999999999999</v>
      </c>
      <c r="F166" s="598">
        <f t="shared" si="32"/>
        <v>0.23749999999999999</v>
      </c>
      <c r="G166" s="598">
        <f t="shared" si="32"/>
        <v>0.23749999999999999</v>
      </c>
      <c r="H166" s="599">
        <v>0.95</v>
      </c>
      <c r="I166" s="545">
        <v>0.01</v>
      </c>
      <c r="J166" s="573">
        <v>0.52</v>
      </c>
    </row>
    <row r="167" spans="1:10" ht="31.5" customHeight="1">
      <c r="A167" s="970"/>
      <c r="B167" s="972"/>
      <c r="C167" s="568" t="s">
        <v>294</v>
      </c>
      <c r="D167" s="598">
        <f>$H$167/4</f>
        <v>0.22500000000000001</v>
      </c>
      <c r="E167" s="598">
        <f t="shared" ref="E167:G172" si="33">$H$167/4</f>
        <v>0.22500000000000001</v>
      </c>
      <c r="F167" s="598">
        <f t="shared" si="33"/>
        <v>0.22500000000000001</v>
      </c>
      <c r="G167" s="598">
        <f t="shared" si="33"/>
        <v>0.22500000000000001</v>
      </c>
      <c r="H167" s="599">
        <v>0.9</v>
      </c>
      <c r="I167" s="545">
        <v>0</v>
      </c>
      <c r="J167" s="573">
        <v>0.56000000000000005</v>
      </c>
    </row>
    <row r="168" spans="1:10" ht="27.75" customHeight="1">
      <c r="A168" s="970"/>
      <c r="B168" s="972"/>
      <c r="C168" s="568" t="s">
        <v>295</v>
      </c>
      <c r="D168" s="598">
        <f t="shared" ref="D168:D172" si="34">$H$167/4</f>
        <v>0.22500000000000001</v>
      </c>
      <c r="E168" s="598">
        <f t="shared" si="33"/>
        <v>0.22500000000000001</v>
      </c>
      <c r="F168" s="598">
        <f t="shared" si="33"/>
        <v>0.22500000000000001</v>
      </c>
      <c r="G168" s="598">
        <f t="shared" si="33"/>
        <v>0.22500000000000001</v>
      </c>
      <c r="H168" s="599">
        <v>0.9</v>
      </c>
      <c r="I168" s="545">
        <v>0.51</v>
      </c>
      <c r="J168" s="573">
        <v>0.5</v>
      </c>
    </row>
    <row r="169" spans="1:10" ht="31.5" customHeight="1">
      <c r="A169" s="970"/>
      <c r="B169" s="972"/>
      <c r="C169" s="568" t="s">
        <v>296</v>
      </c>
      <c r="D169" s="598">
        <f t="shared" si="34"/>
        <v>0.22500000000000001</v>
      </c>
      <c r="E169" s="598">
        <f t="shared" si="33"/>
        <v>0.22500000000000001</v>
      </c>
      <c r="F169" s="598">
        <f t="shared" si="33"/>
        <v>0.22500000000000001</v>
      </c>
      <c r="G169" s="598">
        <f t="shared" si="33"/>
        <v>0.22500000000000001</v>
      </c>
      <c r="H169" s="599">
        <v>0.9</v>
      </c>
      <c r="I169" s="545">
        <v>7.0000000000000007E-2</v>
      </c>
      <c r="J169" s="573">
        <v>0.4</v>
      </c>
    </row>
    <row r="170" spans="1:10" ht="31.5" customHeight="1">
      <c r="A170" s="970"/>
      <c r="B170" s="972"/>
      <c r="C170" s="568" t="s">
        <v>1135</v>
      </c>
      <c r="D170" s="598">
        <f t="shared" si="34"/>
        <v>0.22500000000000001</v>
      </c>
      <c r="E170" s="598">
        <f t="shared" si="33"/>
        <v>0.22500000000000001</v>
      </c>
      <c r="F170" s="598">
        <f t="shared" si="33"/>
        <v>0.22500000000000001</v>
      </c>
      <c r="G170" s="598">
        <f t="shared" si="33"/>
        <v>0.22500000000000001</v>
      </c>
      <c r="H170" s="599">
        <v>0.9</v>
      </c>
      <c r="I170" s="545">
        <v>0.01</v>
      </c>
      <c r="J170" s="573">
        <v>0.52</v>
      </c>
    </row>
    <row r="171" spans="1:10" ht="31.5" customHeight="1">
      <c r="A171" s="970"/>
      <c r="B171" s="972"/>
      <c r="C171" s="568" t="s">
        <v>1136</v>
      </c>
      <c r="D171" s="598">
        <f t="shared" si="34"/>
        <v>0.22500000000000001</v>
      </c>
      <c r="E171" s="598">
        <f t="shared" si="33"/>
        <v>0.22500000000000001</v>
      </c>
      <c r="F171" s="598">
        <f t="shared" si="33"/>
        <v>0.22500000000000001</v>
      </c>
      <c r="G171" s="598">
        <f t="shared" si="33"/>
        <v>0.22500000000000001</v>
      </c>
      <c r="H171" s="599">
        <v>0.9</v>
      </c>
      <c r="I171" s="545">
        <v>0.03</v>
      </c>
      <c r="J171" s="573">
        <v>0.53</v>
      </c>
    </row>
    <row r="172" spans="1:10" ht="33.75" customHeight="1">
      <c r="A172" s="970"/>
      <c r="B172" s="972"/>
      <c r="C172" s="568" t="s">
        <v>1137</v>
      </c>
      <c r="D172" s="598">
        <f t="shared" si="34"/>
        <v>0.22500000000000001</v>
      </c>
      <c r="E172" s="598">
        <f t="shared" si="33"/>
        <v>0.22500000000000001</v>
      </c>
      <c r="F172" s="598">
        <f t="shared" si="33"/>
        <v>0.22500000000000001</v>
      </c>
      <c r="G172" s="598">
        <f t="shared" si="33"/>
        <v>0.22500000000000001</v>
      </c>
      <c r="H172" s="599">
        <v>0.9</v>
      </c>
      <c r="I172" s="545">
        <v>0.04</v>
      </c>
      <c r="J172" s="573">
        <v>0.5</v>
      </c>
    </row>
    <row r="173" spans="1:10" ht="33.75" customHeight="1">
      <c r="A173" s="970"/>
      <c r="B173" s="972" t="s">
        <v>1138</v>
      </c>
      <c r="C173" s="575" t="s">
        <v>45</v>
      </c>
      <c r="D173" s="575" t="s">
        <v>640</v>
      </c>
      <c r="E173" s="575" t="s">
        <v>991</v>
      </c>
      <c r="F173" s="575" t="s">
        <v>642</v>
      </c>
      <c r="G173" s="575" t="s">
        <v>643</v>
      </c>
      <c r="H173" s="576" t="s">
        <v>1002</v>
      </c>
      <c r="I173" s="509"/>
      <c r="J173" s="573"/>
    </row>
    <row r="174" spans="1:10" ht="33.75" customHeight="1">
      <c r="A174" s="970"/>
      <c r="B174" s="972"/>
      <c r="C174" s="568" t="s">
        <v>1139</v>
      </c>
      <c r="D174" s="579">
        <v>1</v>
      </c>
      <c r="E174" s="579">
        <v>1</v>
      </c>
      <c r="F174" s="579">
        <v>1</v>
      </c>
      <c r="G174" s="579">
        <v>1</v>
      </c>
      <c r="H174" s="595">
        <v>1</v>
      </c>
      <c r="I174" s="545">
        <v>0.04</v>
      </c>
      <c r="J174" s="573">
        <v>0.27</v>
      </c>
    </row>
    <row r="175" spans="1:10" ht="33.75" customHeight="1">
      <c r="A175" s="970"/>
      <c r="B175" s="972"/>
      <c r="C175" s="568" t="s">
        <v>1140</v>
      </c>
      <c r="D175" s="595" t="s">
        <v>1092</v>
      </c>
      <c r="E175" s="595" t="s">
        <v>1092</v>
      </c>
      <c r="F175" s="595" t="s">
        <v>1092</v>
      </c>
      <c r="G175" s="595" t="s">
        <v>1092</v>
      </c>
      <c r="H175" s="595" t="s">
        <v>1092</v>
      </c>
      <c r="I175" s="545">
        <v>0.1</v>
      </c>
      <c r="J175" s="573">
        <v>0.45</v>
      </c>
    </row>
    <row r="176" spans="1:10" ht="33.75" customHeight="1">
      <c r="A176" s="970"/>
      <c r="B176" s="972"/>
      <c r="C176" s="575" t="s">
        <v>311</v>
      </c>
      <c r="D176" s="575" t="s">
        <v>640</v>
      </c>
      <c r="E176" s="575" t="s">
        <v>991</v>
      </c>
      <c r="F176" s="575" t="s">
        <v>642</v>
      </c>
      <c r="G176" s="575" t="s">
        <v>643</v>
      </c>
      <c r="H176" s="576" t="s">
        <v>1002</v>
      </c>
      <c r="I176" s="509"/>
      <c r="J176" s="573"/>
    </row>
    <row r="177" spans="1:12" ht="33.75" customHeight="1">
      <c r="A177" s="970"/>
      <c r="B177" s="972"/>
      <c r="C177" s="568" t="s">
        <v>306</v>
      </c>
      <c r="D177" s="572">
        <f>$H$177/4</f>
        <v>0.22500000000000001</v>
      </c>
      <c r="E177" s="572">
        <f t="shared" ref="E177:G177" si="35">$H$177/4</f>
        <v>0.22500000000000001</v>
      </c>
      <c r="F177" s="572">
        <f t="shared" si="35"/>
        <v>0.22500000000000001</v>
      </c>
      <c r="G177" s="572">
        <f t="shared" si="35"/>
        <v>0.22500000000000001</v>
      </c>
      <c r="H177" s="599">
        <v>0.9</v>
      </c>
      <c r="I177" s="545">
        <v>0</v>
      </c>
      <c r="J177" s="573">
        <v>0</v>
      </c>
    </row>
    <row r="178" spans="1:12" ht="33.75" customHeight="1">
      <c r="A178" s="970"/>
      <c r="B178" s="972"/>
      <c r="C178" s="568" t="s">
        <v>307</v>
      </c>
      <c r="D178" s="570">
        <f>$H$178/4</f>
        <v>0.05</v>
      </c>
      <c r="E178" s="570">
        <f t="shared" ref="E178:G178" si="36">$H$178/4</f>
        <v>0.05</v>
      </c>
      <c r="F178" s="570">
        <f t="shared" si="36"/>
        <v>0.05</v>
      </c>
      <c r="G178" s="570">
        <f t="shared" si="36"/>
        <v>0.05</v>
      </c>
      <c r="H178" s="599">
        <v>0.2</v>
      </c>
      <c r="I178" s="545">
        <v>0.04</v>
      </c>
      <c r="J178" s="573">
        <v>0.67</v>
      </c>
      <c r="L178">
        <f>67/7</f>
        <v>9.5714285714285712</v>
      </c>
    </row>
    <row r="179" spans="1:12" ht="33.75" customHeight="1" thickBot="1">
      <c r="A179" s="981"/>
      <c r="B179" s="982"/>
      <c r="C179" s="604" t="s">
        <v>1141</v>
      </c>
      <c r="D179" s="605">
        <v>1</v>
      </c>
      <c r="E179" s="605">
        <v>1</v>
      </c>
      <c r="F179" s="605">
        <v>1</v>
      </c>
      <c r="G179" s="605">
        <v>1</v>
      </c>
      <c r="H179" s="606">
        <v>1</v>
      </c>
      <c r="I179" s="545">
        <v>0</v>
      </c>
      <c r="J179" s="573">
        <v>0</v>
      </c>
      <c r="K179">
        <f>33%*100%/12</f>
        <v>2.75E-2</v>
      </c>
    </row>
    <row r="180" spans="1:12">
      <c r="I180" s="607">
        <f>AVERAGE(I179,I178,I177,I175,I174,I172,I171,I170,I169,I168,I167,I166,I165,I164,I162,I161,I160,I158,I157,I155,I154,I152,I151,I150,I148,I146,I145,I143,I141,I139,I138,I136,I132:I135,I130,I129,I128,I127,I126,I125,I123,I122,I115:I120,I112:I113,I106:I110,I103:I104,I99:I101,I97,I95,I93,I83:I91,I5:I82)</f>
        <v>0.36281376811594229</v>
      </c>
      <c r="J180" s="607">
        <f>AVERAGE(J179,J178,J177,J175,J174,J172,J171,J170,J169,J168,J167,J166,J165,J164,J162,J161,J160,J158,J157,J155,J154,J152,J151,J150,J148,J146,J145,J143,J141,J139,J138,J136,J132:J135,J130,J129,J128,J127,J126,J125,J123,J122,J115:J120,J112:J113,J106:J110,J103:J104,J99:J101,J97,J95,J93,J83:J91,J5:J82)</f>
        <v>0.46465255474452571</v>
      </c>
    </row>
    <row r="181" spans="1:12">
      <c r="J181" s="607">
        <f>AVERAGE(J179,J178,J177,J175,J174,J172,J171,J170,J169,J168,J167,J166,J165,J164,J162,J161,J160,J158,J157,J155,J154,J152,J151,J150,J148,J146,J145,J143,J141,J139,J138,J136,J135,J133,J132,J130,J129,J128,J127,J126,J125,J123,J122,J120,J119,J118,J117,J116,J115,J113,J112,J110,J109,J108,J107,J106,J104,J103,J101,J100,J99,J97,J95,J93,J91,J90,J89,J88,J86,J85,J84,J82,J81,J80,J79,J78,J77,J76,J75,J74,J73,J72,J71,J70,J69,J68,J67,J66,J65,J63,J62,J61,J60,J59,J57,J56,J55,J54,J53,J52,J51,J50,J48,J47,J46,J44,J43,J42,J41,J40,J39,J38,J37,J36,J35,J34,J33,J32,J30,J29,J28,J27,J26,J24,J23,J21,J19,J18,J17,J16,J15,J13,J11,J10,J9,J7,J6,J5)</f>
        <v>0.46465255474452571</v>
      </c>
    </row>
  </sheetData>
  <mergeCells count="29">
    <mergeCell ref="B148:B152"/>
    <mergeCell ref="A154:A179"/>
    <mergeCell ref="B154:B158"/>
    <mergeCell ref="B159:B172"/>
    <mergeCell ref="B173:B179"/>
    <mergeCell ref="A148:A152"/>
    <mergeCell ref="A93:A120"/>
    <mergeCell ref="B93:B95"/>
    <mergeCell ref="B96:B101"/>
    <mergeCell ref="B102:B110"/>
    <mergeCell ref="B111:B120"/>
    <mergeCell ref="A122:A136"/>
    <mergeCell ref="B122:B130"/>
    <mergeCell ref="B131:B136"/>
    <mergeCell ref="A138:A146"/>
    <mergeCell ref="B138:B141"/>
    <mergeCell ref="B142:B146"/>
    <mergeCell ref="A26:A57"/>
    <mergeCell ref="B26:B44"/>
    <mergeCell ref="B45:B57"/>
    <mergeCell ref="A59:A91"/>
    <mergeCell ref="B59:B82"/>
    <mergeCell ref="B83:B91"/>
    <mergeCell ref="A1:A3"/>
    <mergeCell ref="B1:J3"/>
    <mergeCell ref="A5:A24"/>
    <mergeCell ref="B5:B11"/>
    <mergeCell ref="B12:B19"/>
    <mergeCell ref="B20:B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16E0-A996-4568-A0A5-92284BD4A21E}">
  <dimension ref="A1:L48"/>
  <sheetViews>
    <sheetView topLeftCell="A25" workbookViewId="0">
      <selection activeCell="G55" sqref="G55"/>
    </sheetView>
  </sheetViews>
  <sheetFormatPr baseColWidth="10" defaultRowHeight="15"/>
  <cols>
    <col min="1" max="1" width="23" customWidth="1"/>
    <col min="2" max="2" width="19.7109375" customWidth="1"/>
    <col min="3" max="3" width="22.140625" customWidth="1"/>
    <col min="4" max="4" width="17" customWidth="1"/>
    <col min="5" max="5" width="19.28515625" customWidth="1"/>
    <col min="6" max="6" width="17.140625" customWidth="1"/>
    <col min="7" max="7" width="9.85546875" customWidth="1"/>
  </cols>
  <sheetData>
    <row r="1" spans="1:6">
      <c r="A1" s="906" t="s">
        <v>1168</v>
      </c>
      <c r="B1" s="906" t="s">
        <v>953</v>
      </c>
      <c r="C1" s="906" t="s">
        <v>954</v>
      </c>
      <c r="D1" s="906" t="s">
        <v>955</v>
      </c>
      <c r="E1" s="906" t="s">
        <v>956</v>
      </c>
      <c r="F1" s="906" t="s">
        <v>957</v>
      </c>
    </row>
    <row r="2" spans="1:6">
      <c r="A2" s="906" t="s">
        <v>1168</v>
      </c>
      <c r="B2" s="906"/>
      <c r="C2" s="906"/>
      <c r="D2" s="906"/>
      <c r="E2" s="906"/>
      <c r="F2" s="906"/>
    </row>
    <row r="3" spans="1:6">
      <c r="A3" s="330" t="s">
        <v>1166</v>
      </c>
      <c r="B3" s="521">
        <v>9255</v>
      </c>
      <c r="C3" s="521">
        <v>3770</v>
      </c>
      <c r="D3" s="521">
        <v>3991</v>
      </c>
      <c r="E3" s="656">
        <v>0.22573989693800145</v>
      </c>
      <c r="F3" s="656">
        <v>0.8848255803289341</v>
      </c>
    </row>
    <row r="4" spans="1:6">
      <c r="A4" s="330" t="s">
        <v>1167</v>
      </c>
      <c r="B4" s="521">
        <v>9255</v>
      </c>
      <c r="C4" s="521">
        <v>3770</v>
      </c>
      <c r="D4" s="521">
        <v>3991</v>
      </c>
      <c r="E4" s="656">
        <v>0.43122636412749865</v>
      </c>
      <c r="F4" s="656">
        <v>1.0586206896551724</v>
      </c>
    </row>
    <row r="40" spans="1:12">
      <c r="A40" s="906" t="s">
        <v>1168</v>
      </c>
      <c r="B40" s="906" t="s">
        <v>953</v>
      </c>
      <c r="C40" s="906" t="s">
        <v>954</v>
      </c>
      <c r="D40" s="906" t="s">
        <v>955</v>
      </c>
      <c r="E40" s="906" t="s">
        <v>956</v>
      </c>
      <c r="F40" s="906" t="s">
        <v>957</v>
      </c>
    </row>
    <row r="41" spans="1:12">
      <c r="A41" s="906" t="s">
        <v>1168</v>
      </c>
      <c r="B41" s="906"/>
      <c r="C41" s="906"/>
      <c r="D41" s="906"/>
      <c r="E41" s="906"/>
      <c r="F41" s="906"/>
    </row>
    <row r="42" spans="1:12">
      <c r="A42" s="330" t="s">
        <v>1166</v>
      </c>
      <c r="B42" s="521">
        <v>9255</v>
      </c>
      <c r="C42" s="521">
        <v>3770</v>
      </c>
      <c r="D42" s="521">
        <v>3991</v>
      </c>
      <c r="E42" s="656">
        <v>0.22573989693800145</v>
      </c>
      <c r="F42" s="656">
        <v>0.8848255803289341</v>
      </c>
    </row>
    <row r="43" spans="1:12">
      <c r="A43" s="330" t="s">
        <v>1167</v>
      </c>
      <c r="B43" s="521">
        <v>9255</v>
      </c>
      <c r="C43" s="521">
        <v>3770</v>
      </c>
      <c r="D43" s="521">
        <v>3991</v>
      </c>
      <c r="E43" s="656">
        <v>0.43122636412749865</v>
      </c>
      <c r="F43" s="656">
        <v>1.0586206896551724</v>
      </c>
    </row>
    <row r="47" spans="1:12" ht="105">
      <c r="A47" s="515" t="s">
        <v>973</v>
      </c>
      <c r="B47" s="515" t="s">
        <v>983</v>
      </c>
      <c r="C47" s="515" t="s">
        <v>984</v>
      </c>
      <c r="D47" s="515" t="s">
        <v>985</v>
      </c>
      <c r="E47" s="515" t="s">
        <v>986</v>
      </c>
      <c r="F47" s="515" t="s">
        <v>987</v>
      </c>
      <c r="G47" s="515" t="s">
        <v>994</v>
      </c>
      <c r="H47" s="515" t="s">
        <v>995</v>
      </c>
      <c r="I47" s="515" t="s">
        <v>996</v>
      </c>
      <c r="J47" s="515" t="s">
        <v>997</v>
      </c>
      <c r="K47" s="515" t="s">
        <v>998</v>
      </c>
      <c r="L47" s="515" t="s">
        <v>974</v>
      </c>
    </row>
    <row r="48" spans="1:12">
      <c r="A48" s="516">
        <v>12431</v>
      </c>
      <c r="B48" s="516">
        <v>3763</v>
      </c>
      <c r="C48" s="517">
        <v>3430</v>
      </c>
      <c r="D48" s="518">
        <f>C48/B48*100</f>
        <v>91.150677650810522</v>
      </c>
      <c r="E48" s="518">
        <f>9475-7</f>
        <v>9468</v>
      </c>
      <c r="F48" s="519">
        <f>10980-7</f>
        <v>10973</v>
      </c>
      <c r="G48" s="519">
        <v>2955</v>
      </c>
      <c r="H48" s="519">
        <v>2506</v>
      </c>
      <c r="I48" s="519">
        <f>H48/G48*100</f>
        <v>84.805414551607456</v>
      </c>
      <c r="J48" s="519">
        <f>E48+G15</f>
        <v>9468</v>
      </c>
      <c r="K48" s="519">
        <f>F48+H15</f>
        <v>10973</v>
      </c>
      <c r="L48" s="520" t="e">
        <f>K48/#REF!*100</f>
        <v>#REF!</v>
      </c>
    </row>
  </sheetData>
  <mergeCells count="12">
    <mergeCell ref="F40:F41"/>
    <mergeCell ref="A40:A41"/>
    <mergeCell ref="B40:B41"/>
    <mergeCell ref="C40:C41"/>
    <mergeCell ref="D40:D41"/>
    <mergeCell ref="E40:E41"/>
    <mergeCell ref="F1:F2"/>
    <mergeCell ref="A1:A2"/>
    <mergeCell ref="B1:B2"/>
    <mergeCell ref="C1:C2"/>
    <mergeCell ref="D1:D2"/>
    <mergeCell ref="E1:E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0522-996C-439F-A089-086E7E453C41}">
  <dimension ref="A18:O30"/>
  <sheetViews>
    <sheetView workbookViewId="0">
      <selection activeCell="H34" sqref="H34"/>
    </sheetView>
  </sheetViews>
  <sheetFormatPr baseColWidth="10" defaultRowHeight="15"/>
  <cols>
    <col min="2" max="2" width="21.140625" customWidth="1"/>
    <col min="3" max="3" width="17.7109375" customWidth="1"/>
    <col min="4" max="4" width="19.140625" customWidth="1"/>
    <col min="5" max="5" width="17.5703125" customWidth="1"/>
    <col min="6" max="6" width="22.7109375" customWidth="1"/>
    <col min="7" max="7" width="17.42578125" customWidth="1"/>
    <col min="8" max="8" width="18.140625" customWidth="1"/>
    <col min="9" max="9" width="17.28515625" customWidth="1"/>
    <col min="10" max="10" width="17.85546875" customWidth="1"/>
    <col min="11" max="11" width="16" customWidth="1"/>
    <col min="12" max="13" width="15.85546875" customWidth="1"/>
    <col min="14" max="14" width="16.42578125" customWidth="1"/>
    <col min="15" max="15" width="20.28515625" customWidth="1"/>
  </cols>
  <sheetData>
    <row r="18" spans="1:15" ht="75">
      <c r="A18" s="515" t="s">
        <v>973</v>
      </c>
      <c r="B18" s="515" t="s">
        <v>1192</v>
      </c>
      <c r="C18" s="515" t="s">
        <v>1184</v>
      </c>
      <c r="D18" s="515" t="s">
        <v>1185</v>
      </c>
      <c r="E18" s="515" t="s">
        <v>1183</v>
      </c>
      <c r="F18" s="515" t="s">
        <v>1186</v>
      </c>
      <c r="G18" s="515" t="s">
        <v>1182</v>
      </c>
      <c r="H18" s="515" t="s">
        <v>1187</v>
      </c>
      <c r="I18" s="515" t="s">
        <v>1188</v>
      </c>
      <c r="J18" s="515" t="s">
        <v>985</v>
      </c>
      <c r="K18" s="515" t="s">
        <v>1189</v>
      </c>
      <c r="L18" s="515" t="s">
        <v>998</v>
      </c>
      <c r="M18" s="515" t="s">
        <v>1190</v>
      </c>
      <c r="N18" s="515" t="s">
        <v>974</v>
      </c>
      <c r="O18" s="515" t="s">
        <v>1191</v>
      </c>
    </row>
    <row r="19" spans="1:15">
      <c r="A19" s="516">
        <v>9255</v>
      </c>
      <c r="B19" s="516">
        <v>3770</v>
      </c>
      <c r="C19" s="517">
        <v>3766</v>
      </c>
      <c r="D19" s="518">
        <f>C19/B19*100</f>
        <v>99.893899204244036</v>
      </c>
      <c r="E19" s="518">
        <v>3493</v>
      </c>
      <c r="F19" s="519">
        <v>3436</v>
      </c>
      <c r="G19" s="519">
        <f>F19/E19*100</f>
        <v>98.36816490123104</v>
      </c>
      <c r="H19" s="519">
        <v>1362</v>
      </c>
      <c r="I19" s="519"/>
      <c r="J19" s="519"/>
      <c r="K19" s="519"/>
      <c r="L19" s="519"/>
      <c r="M19" s="519"/>
      <c r="N19" s="520">
        <f>F19+C19+I19+L19</f>
        <v>7202</v>
      </c>
      <c r="O19" s="666">
        <f>N19/A19</f>
        <v>0.77817396002160999</v>
      </c>
    </row>
    <row r="22" spans="1:15">
      <c r="A22" s="906" t="s">
        <v>1168</v>
      </c>
      <c r="B22" s="906" t="s">
        <v>953</v>
      </c>
      <c r="C22" s="906" t="s">
        <v>954</v>
      </c>
      <c r="D22" s="906" t="s">
        <v>955</v>
      </c>
      <c r="E22" s="906" t="s">
        <v>956</v>
      </c>
      <c r="F22" s="906" t="s">
        <v>957</v>
      </c>
      <c r="G22" s="670"/>
    </row>
    <row r="23" spans="1:15">
      <c r="A23" s="906" t="s">
        <v>1168</v>
      </c>
      <c r="B23" s="906"/>
      <c r="C23" s="906"/>
      <c r="D23" s="906"/>
      <c r="E23" s="906"/>
      <c r="F23" s="906"/>
      <c r="G23" s="670"/>
    </row>
    <row r="24" spans="1:15" hidden="1">
      <c r="A24" s="330" t="s">
        <v>1166</v>
      </c>
      <c r="B24" s="521">
        <v>9255</v>
      </c>
      <c r="C24" s="521">
        <v>3770</v>
      </c>
      <c r="D24" s="517">
        <v>3766</v>
      </c>
      <c r="E24" s="656">
        <f>AVERAGE(D24/B24)</f>
        <v>0.4069151809832523</v>
      </c>
      <c r="F24" s="656">
        <f>AVERAGE(D24/C24)</f>
        <v>0.9989389920424403</v>
      </c>
      <c r="G24" s="671"/>
    </row>
    <row r="25" spans="1:15">
      <c r="A25" s="330" t="s">
        <v>1167</v>
      </c>
      <c r="B25" s="521">
        <v>9255</v>
      </c>
      <c r="C25" s="521">
        <v>3770</v>
      </c>
      <c r="D25" s="517">
        <v>3766</v>
      </c>
      <c r="E25" s="656">
        <f>D25/B25</f>
        <v>0.4069151809832523</v>
      </c>
      <c r="F25" s="656">
        <f>D25/C25</f>
        <v>0.9989389920424403</v>
      </c>
      <c r="G25" s="671"/>
    </row>
    <row r="27" spans="1:15">
      <c r="A27" s="906" t="s">
        <v>1168</v>
      </c>
      <c r="B27" s="906" t="s">
        <v>953</v>
      </c>
      <c r="C27" s="906" t="s">
        <v>1171</v>
      </c>
      <c r="D27" s="906" t="s">
        <v>1172</v>
      </c>
      <c r="E27" s="906" t="s">
        <v>956</v>
      </c>
      <c r="F27" s="906" t="s">
        <v>957</v>
      </c>
    </row>
    <row r="28" spans="1:15">
      <c r="A28" s="906" t="s">
        <v>1168</v>
      </c>
      <c r="B28" s="906"/>
      <c r="C28" s="906"/>
      <c r="D28" s="906"/>
      <c r="E28" s="906"/>
      <c r="F28" s="906"/>
    </row>
    <row r="29" spans="1:15" hidden="1">
      <c r="A29" s="330" t="s">
        <v>1166</v>
      </c>
      <c r="B29" s="521">
        <v>9255</v>
      </c>
      <c r="C29" s="518">
        <v>3493</v>
      </c>
      <c r="D29" s="519">
        <v>3436</v>
      </c>
      <c r="E29" s="656">
        <f>AVERAGE(D29/B29)</f>
        <v>0.37125877903835763</v>
      </c>
      <c r="F29" s="656">
        <f>AVERAGE(D29/C29)</f>
        <v>0.98368164901231037</v>
      </c>
    </row>
    <row r="30" spans="1:15">
      <c r="A30" s="330" t="s">
        <v>1167</v>
      </c>
      <c r="B30" s="521">
        <v>9255</v>
      </c>
      <c r="C30" s="518">
        <v>3493</v>
      </c>
      <c r="D30" s="519">
        <v>3436</v>
      </c>
      <c r="E30" s="656">
        <f>D30/B30</f>
        <v>0.37125877903835763</v>
      </c>
      <c r="F30" s="656">
        <f>AVERAGE(D30/C30)</f>
        <v>0.98368164901231037</v>
      </c>
    </row>
  </sheetData>
  <mergeCells count="12">
    <mergeCell ref="F27:F28"/>
    <mergeCell ref="A22:A23"/>
    <mergeCell ref="B22:B23"/>
    <mergeCell ref="C22:C23"/>
    <mergeCell ref="D22:D23"/>
    <mergeCell ref="E22:E23"/>
    <mergeCell ref="F22:F23"/>
    <mergeCell ref="A27:A28"/>
    <mergeCell ref="B27:B28"/>
    <mergeCell ref="C27:C28"/>
    <mergeCell ref="D27:D28"/>
    <mergeCell ref="E27:E2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BC525-1DF2-432A-A9E7-BB873105A249}">
  <dimension ref="A18:O29"/>
  <sheetViews>
    <sheetView topLeftCell="B1" workbookViewId="0">
      <selection activeCell="G31" sqref="G31"/>
    </sheetView>
  </sheetViews>
  <sheetFormatPr baseColWidth="10" defaultRowHeight="15"/>
  <cols>
    <col min="1" max="1" width="16.5703125" customWidth="1"/>
    <col min="2" max="2" width="21.140625" customWidth="1"/>
    <col min="3" max="3" width="17.7109375" customWidth="1"/>
    <col min="4" max="4" width="19.140625" customWidth="1"/>
    <col min="5" max="5" width="17.5703125" customWidth="1"/>
    <col min="6" max="6" width="22.7109375" customWidth="1"/>
    <col min="7" max="7" width="17.42578125" customWidth="1"/>
    <col min="8" max="8" width="18.140625" customWidth="1"/>
    <col min="9" max="9" width="17.28515625" customWidth="1"/>
    <col min="10" max="10" width="17.85546875" customWidth="1"/>
    <col min="11" max="11" width="16" customWidth="1"/>
    <col min="12" max="13" width="15.85546875" customWidth="1"/>
    <col min="14" max="14" width="16.42578125" customWidth="1"/>
    <col min="15" max="15" width="20.28515625" customWidth="1"/>
  </cols>
  <sheetData>
    <row r="18" spans="1:15" ht="75">
      <c r="A18" s="515" t="s">
        <v>973</v>
      </c>
      <c r="B18" s="515" t="s">
        <v>1192</v>
      </c>
      <c r="C18" s="515" t="s">
        <v>1184</v>
      </c>
      <c r="D18" s="515" t="s">
        <v>1185</v>
      </c>
      <c r="E18" s="515" t="s">
        <v>1183</v>
      </c>
      <c r="F18" s="515" t="s">
        <v>1186</v>
      </c>
      <c r="G18" s="515" t="s">
        <v>1182</v>
      </c>
      <c r="H18" s="515" t="s">
        <v>1187</v>
      </c>
      <c r="I18" s="515" t="s">
        <v>1188</v>
      </c>
      <c r="J18" s="515" t="s">
        <v>985</v>
      </c>
      <c r="K18" s="515" t="s">
        <v>1189</v>
      </c>
      <c r="L18" s="515" t="s">
        <v>998</v>
      </c>
      <c r="M18" s="515" t="s">
        <v>1190</v>
      </c>
      <c r="N18" s="515" t="s">
        <v>974</v>
      </c>
      <c r="O18" s="515" t="s">
        <v>1191</v>
      </c>
    </row>
    <row r="19" spans="1:15">
      <c r="A19" s="516">
        <v>9255</v>
      </c>
      <c r="B19" s="516">
        <v>3770</v>
      </c>
      <c r="C19" s="517">
        <v>3766</v>
      </c>
      <c r="D19" s="518">
        <f>C19/B19*100</f>
        <v>99.893899204244036</v>
      </c>
      <c r="E19" s="518">
        <v>3493</v>
      </c>
      <c r="F19" s="519">
        <v>3436</v>
      </c>
      <c r="G19" s="519">
        <f>F19/E19*100</f>
        <v>98.36816490123104</v>
      </c>
      <c r="H19" s="519">
        <v>1363</v>
      </c>
      <c r="I19" s="519">
        <v>1216</v>
      </c>
      <c r="J19" s="519">
        <f>I19/H19*100</f>
        <v>89.21496698459282</v>
      </c>
      <c r="K19" s="519"/>
      <c r="L19" s="519"/>
      <c r="M19" s="519"/>
      <c r="N19" s="520">
        <f>F19+C19+I19+L19</f>
        <v>8418</v>
      </c>
      <c r="O19" s="666">
        <f>N19/A19</f>
        <v>0.90956239870340361</v>
      </c>
    </row>
    <row r="22" spans="1:15">
      <c r="A22" s="906" t="s">
        <v>1168</v>
      </c>
      <c r="B22" s="906" t="s">
        <v>953</v>
      </c>
      <c r="C22" s="906" t="s">
        <v>1194</v>
      </c>
      <c r="D22" s="906" t="s">
        <v>1195</v>
      </c>
      <c r="E22" s="906" t="s">
        <v>956</v>
      </c>
      <c r="F22" s="906" t="s">
        <v>957</v>
      </c>
    </row>
    <row r="23" spans="1:15">
      <c r="A23" s="906" t="s">
        <v>1168</v>
      </c>
      <c r="B23" s="906"/>
      <c r="C23" s="906"/>
      <c r="D23" s="906"/>
      <c r="E23" s="906"/>
      <c r="F23" s="906"/>
    </row>
    <row r="24" spans="1:15" hidden="1">
      <c r="A24" s="330" t="s">
        <v>1166</v>
      </c>
      <c r="B24" s="521">
        <v>9255</v>
      </c>
      <c r="C24" s="521">
        <v>3770</v>
      </c>
      <c r="D24" s="517">
        <v>3766</v>
      </c>
      <c r="E24" s="656">
        <f>AVERAGE(D24/B24)</f>
        <v>0.4069151809832523</v>
      </c>
      <c r="F24" s="656">
        <f>AVERAGE(D24/C24)</f>
        <v>0.9989389920424403</v>
      </c>
      <c r="G24" s="671"/>
    </row>
    <row r="25" spans="1:15">
      <c r="A25" s="330" t="s">
        <v>1167</v>
      </c>
      <c r="B25" s="521">
        <v>9255</v>
      </c>
      <c r="C25" s="521">
        <v>1363</v>
      </c>
      <c r="D25" s="517">
        <v>1216</v>
      </c>
      <c r="E25" s="656">
        <f>D25/B25</f>
        <v>0.13138843868179362</v>
      </c>
      <c r="F25" s="656">
        <f>D25/C25</f>
        <v>0.89214966984592814</v>
      </c>
      <c r="G25" s="671"/>
    </row>
    <row r="29" spans="1:15" hidden="1"/>
  </sheetData>
  <mergeCells count="6">
    <mergeCell ref="F22:F23"/>
    <mergeCell ref="A22:A23"/>
    <mergeCell ref="B22:B23"/>
    <mergeCell ref="C22:C23"/>
    <mergeCell ref="D22:D23"/>
    <mergeCell ref="E22:E2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1A1B4-A477-4399-AE85-C10E8C873113}">
  <dimension ref="A18:U29"/>
  <sheetViews>
    <sheetView topLeftCell="G4" workbookViewId="0">
      <selection activeCell="Q22" sqref="Q22"/>
    </sheetView>
  </sheetViews>
  <sheetFormatPr baseColWidth="10" defaultRowHeight="15"/>
  <cols>
    <col min="1" max="1" width="16.5703125" customWidth="1"/>
    <col min="2" max="2" width="21.140625" customWidth="1"/>
    <col min="3" max="3" width="17.7109375" customWidth="1"/>
    <col min="4" max="4" width="19.140625" customWidth="1"/>
    <col min="5" max="5" width="17.5703125" customWidth="1"/>
    <col min="6" max="6" width="22.7109375" customWidth="1"/>
    <col min="7" max="7" width="17.42578125" customWidth="1"/>
    <col min="8" max="8" width="18.140625" customWidth="1"/>
    <col min="9" max="9" width="17.28515625" customWidth="1"/>
    <col min="10" max="10" width="17.85546875" customWidth="1"/>
    <col min="11" max="11" width="16" customWidth="1"/>
    <col min="12" max="13" width="15.85546875" customWidth="1"/>
    <col min="14" max="14" width="16.42578125" customWidth="1"/>
    <col min="15" max="15" width="20.28515625" customWidth="1"/>
    <col min="19" max="19" width="15.85546875" customWidth="1"/>
    <col min="20" max="20" width="17.85546875" customWidth="1"/>
    <col min="21" max="21" width="15.85546875" customWidth="1"/>
  </cols>
  <sheetData>
    <row r="18" spans="1:21" ht="56.25" customHeight="1">
      <c r="A18" s="515" t="s">
        <v>973</v>
      </c>
      <c r="B18" s="515" t="s">
        <v>1192</v>
      </c>
      <c r="C18" s="515" t="s">
        <v>1184</v>
      </c>
      <c r="D18" s="515" t="s">
        <v>1185</v>
      </c>
      <c r="E18" s="515" t="s">
        <v>1183</v>
      </c>
      <c r="F18" s="515" t="s">
        <v>1186</v>
      </c>
      <c r="G18" s="515" t="s">
        <v>1182</v>
      </c>
      <c r="H18" s="515" t="s">
        <v>1187</v>
      </c>
      <c r="I18" s="515" t="s">
        <v>1188</v>
      </c>
      <c r="J18" s="515" t="s">
        <v>985</v>
      </c>
      <c r="K18" s="515" t="s">
        <v>1203</v>
      </c>
      <c r="L18" s="515" t="s">
        <v>998</v>
      </c>
      <c r="M18" s="515" t="s">
        <v>1190</v>
      </c>
      <c r="N18" s="515" t="s">
        <v>974</v>
      </c>
      <c r="O18" s="515" t="s">
        <v>1191</v>
      </c>
      <c r="S18" s="983" t="s">
        <v>1205</v>
      </c>
      <c r="T18" s="984"/>
      <c r="U18" s="985"/>
    </row>
    <row r="19" spans="1:21" ht="60">
      <c r="A19" s="516">
        <v>9265</v>
      </c>
      <c r="B19" s="516">
        <v>3770</v>
      </c>
      <c r="C19" s="517">
        <v>3766</v>
      </c>
      <c r="D19" s="518">
        <f>C19/B19*100</f>
        <v>99.893899204244036</v>
      </c>
      <c r="E19" s="519">
        <v>3684</v>
      </c>
      <c r="F19" s="519">
        <v>3594</v>
      </c>
      <c r="G19" s="519">
        <f>F19/E19*100</f>
        <v>97.557003257328986</v>
      </c>
      <c r="H19" s="519">
        <v>1363</v>
      </c>
      <c r="I19" s="519">
        <v>1216</v>
      </c>
      <c r="J19" s="519">
        <f>I19/H19*100</f>
        <v>89.21496698459282</v>
      </c>
      <c r="K19" s="519">
        <v>466</v>
      </c>
      <c r="L19" s="519">
        <v>438</v>
      </c>
      <c r="M19" s="519">
        <f>L19/K19*100</f>
        <v>93.991416309012877</v>
      </c>
      <c r="N19" s="520">
        <v>9014</v>
      </c>
      <c r="O19" s="700">
        <f>N19/A19</f>
        <v>0.97290879654614137</v>
      </c>
      <c r="S19" s="515" t="s">
        <v>1207</v>
      </c>
      <c r="T19" s="515" t="s">
        <v>1206</v>
      </c>
      <c r="U19" s="515" t="s">
        <v>1204</v>
      </c>
    </row>
    <row r="20" spans="1:21">
      <c r="S20" s="675">
        <v>9265</v>
      </c>
      <c r="T20" s="675">
        <v>9014</v>
      </c>
      <c r="U20" s="676">
        <f>T20/S20*100</f>
        <v>97.290879654614145</v>
      </c>
    </row>
    <row r="22" spans="1:21">
      <c r="A22" s="906" t="s">
        <v>1168</v>
      </c>
    </row>
    <row r="23" spans="1:21">
      <c r="A23" s="906" t="s">
        <v>1168</v>
      </c>
    </row>
    <row r="24" spans="1:21" hidden="1">
      <c r="A24" s="330" t="s">
        <v>1166</v>
      </c>
      <c r="B24" s="671"/>
    </row>
    <row r="25" spans="1:21">
      <c r="A25" s="330" t="s">
        <v>1167</v>
      </c>
      <c r="B25" s="671"/>
    </row>
    <row r="29" spans="1:21" hidden="1"/>
  </sheetData>
  <sheetProtection algorithmName="SHA-512" hashValue="gU52/2d5c0wKu432IO9hZbhym3BuUVE0qpMxMuY2NcBhOWw9ytOBF1PNHbCGWn/WQCAlijhyQGjzDHwOorhIQg==" saltValue="7Hkwl3bY5g2064WmYCskbQ==" spinCount="100000" sheet="1" objects="1" scenarios="1"/>
  <mergeCells count="2">
    <mergeCell ref="S18:U18"/>
    <mergeCell ref="A22:A2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EC46B-4087-4894-884E-09EC9CC8A8D3}">
  <dimension ref="A1:AX65"/>
  <sheetViews>
    <sheetView zoomScale="60" zoomScaleNormal="60" workbookViewId="0">
      <pane ySplit="6" topLeftCell="A37" activePane="bottomLeft" state="frozen"/>
      <selection pane="bottomLeft" activeCell="A64" sqref="A64"/>
    </sheetView>
  </sheetViews>
  <sheetFormatPr baseColWidth="10" defaultColWidth="11.42578125" defaultRowHeight="14.25"/>
  <cols>
    <col min="1" max="1" width="30.85546875" style="3" customWidth="1"/>
    <col min="2" max="2" width="28.42578125" style="3" customWidth="1"/>
    <col min="3" max="3" width="24" style="3" customWidth="1"/>
    <col min="4" max="4" width="30.42578125" style="3" customWidth="1"/>
    <col min="5" max="5" width="32" style="3" bestFit="1" customWidth="1"/>
    <col min="6" max="6" width="20.28515625" style="3" customWidth="1"/>
    <col min="7" max="7" width="37.42578125" style="3" customWidth="1"/>
    <col min="8" max="8" width="15" style="3" hidden="1" customWidth="1"/>
    <col min="9" max="10" width="12.7109375" style="2" hidden="1" customWidth="1"/>
    <col min="11" max="11" width="38.42578125" style="2" hidden="1" customWidth="1"/>
    <col min="12" max="12" width="57.42578125" style="2" hidden="1" customWidth="1"/>
    <col min="13" max="13" width="38.140625" style="5" customWidth="1"/>
    <col min="14" max="15" width="15" style="3" customWidth="1"/>
    <col min="16" max="16" width="16.28515625" style="3" customWidth="1"/>
    <col min="17" max="17" width="16.7109375" style="3" customWidth="1"/>
    <col min="18" max="18" width="16.85546875" style="3" customWidth="1"/>
    <col min="19" max="19" width="18" style="3" customWidth="1"/>
    <col min="20" max="20" width="20.140625" style="3" customWidth="1"/>
    <col min="21" max="21" width="21.42578125" style="3" customWidth="1"/>
    <col min="22" max="22" width="27.7109375" style="7" customWidth="1"/>
    <col min="23" max="23" width="25.42578125" style="7" bestFit="1" customWidth="1"/>
    <col min="24" max="33" width="25.42578125" style="7" customWidth="1"/>
    <col min="34" max="36" width="34.28515625" style="7" customWidth="1"/>
    <col min="37" max="42" width="43.85546875" style="7" customWidth="1"/>
    <col min="43" max="43" width="20" style="3" customWidth="1"/>
    <col min="44" max="44" width="20.140625" style="3" customWidth="1"/>
    <col min="45" max="45" width="30.28515625" style="2" hidden="1" customWidth="1"/>
    <col min="46" max="47" width="17.42578125" style="2" customWidth="1"/>
    <col min="48" max="48" width="21.140625" style="2" customWidth="1"/>
    <col min="49" max="49" width="16.7109375" style="2" customWidth="1"/>
    <col min="50" max="50" width="20.140625" style="2" customWidth="1"/>
    <col min="51" max="16384" width="11.42578125" style="2"/>
  </cols>
  <sheetData>
    <row r="1" spans="1:50" s="1" customFormat="1" ht="30.75" customHeight="1" thickTop="1" thickBot="1">
      <c r="A1" s="846" t="s">
        <v>585</v>
      </c>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22"/>
      <c r="AT1" s="823" t="s">
        <v>34</v>
      </c>
      <c r="AU1" s="823"/>
      <c r="AV1" s="823"/>
      <c r="AW1" s="823"/>
      <c r="AX1" s="824"/>
    </row>
    <row r="2" spans="1:50" s="1" customFormat="1" ht="27.95" customHeight="1" thickTop="1" thickBot="1">
      <c r="A2" s="856" t="s">
        <v>586</v>
      </c>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856"/>
      <c r="AQ2" s="856"/>
      <c r="AR2" s="856"/>
      <c r="AS2" s="22"/>
      <c r="AT2" s="253" t="s">
        <v>35</v>
      </c>
      <c r="AU2" s="20" t="s">
        <v>36</v>
      </c>
      <c r="AV2" s="16" t="s">
        <v>37</v>
      </c>
      <c r="AW2" s="16" t="s">
        <v>38</v>
      </c>
      <c r="AX2" s="16" t="s">
        <v>29</v>
      </c>
    </row>
    <row r="3" spans="1:50" s="1" customFormat="1" ht="25.5" customHeight="1" thickTop="1" thickBot="1">
      <c r="A3" s="256"/>
      <c r="B3" s="782" t="s">
        <v>49</v>
      </c>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2"/>
      <c r="AJ3" s="782"/>
      <c r="AK3" s="782"/>
      <c r="AL3" s="782"/>
      <c r="AM3" s="782"/>
      <c r="AN3" s="782"/>
      <c r="AO3" s="782"/>
      <c r="AP3" s="782"/>
      <c r="AQ3" s="782"/>
      <c r="AR3" s="782"/>
      <c r="AS3" s="23"/>
      <c r="AT3" s="28"/>
      <c r="AU3" s="21"/>
      <c r="AV3" s="17"/>
      <c r="AW3" s="18"/>
      <c r="AX3" s="19"/>
    </row>
    <row r="4" spans="1:50" s="1" customFormat="1" ht="27.95" customHeight="1" thickTop="1" thickBot="1">
      <c r="A4" s="857" t="s">
        <v>583</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23"/>
      <c r="AT4" s="28"/>
      <c r="AU4" s="21"/>
      <c r="AV4" s="17"/>
      <c r="AW4" s="18"/>
      <c r="AX4" s="19"/>
    </row>
    <row r="5" spans="1:50" ht="27.95" customHeight="1" thickTop="1" thickBot="1">
      <c r="A5" s="1002"/>
      <c r="B5" s="1002"/>
      <c r="C5" s="1002" t="s">
        <v>45</v>
      </c>
      <c r="D5" s="1002"/>
      <c r="E5" s="1002"/>
      <c r="F5" s="328"/>
      <c r="G5" s="1002" t="s">
        <v>311</v>
      </c>
      <c r="H5" s="1002"/>
      <c r="I5" s="1002"/>
      <c r="J5" s="1002"/>
      <c r="K5" s="1003" t="s">
        <v>44</v>
      </c>
      <c r="L5" s="1003" t="s">
        <v>10</v>
      </c>
      <c r="M5" s="1004" t="s">
        <v>1</v>
      </c>
      <c r="N5" s="999" t="s">
        <v>48</v>
      </c>
      <c r="O5" s="999" t="s">
        <v>2</v>
      </c>
      <c r="P5" s="999" t="s">
        <v>3</v>
      </c>
      <c r="Q5" s="999" t="s">
        <v>4</v>
      </c>
      <c r="R5" s="999" t="s">
        <v>5</v>
      </c>
      <c r="S5" s="999" t="s">
        <v>6</v>
      </c>
      <c r="T5" s="1001" t="s">
        <v>7</v>
      </c>
      <c r="U5" s="1001"/>
      <c r="V5" s="1001"/>
      <c r="W5" s="1001"/>
      <c r="X5" s="1005" t="s">
        <v>564</v>
      </c>
      <c r="Y5" s="1005"/>
      <c r="Z5" s="1005"/>
      <c r="AA5" s="1005"/>
      <c r="AB5" s="1005"/>
      <c r="AC5" s="1005"/>
      <c r="AD5" s="1005"/>
      <c r="AE5" s="1005"/>
      <c r="AF5" s="1005"/>
      <c r="AG5" s="1005"/>
      <c r="AH5" s="1005"/>
      <c r="AI5" s="1005"/>
      <c r="AJ5" s="1005"/>
      <c r="AK5" s="1005"/>
      <c r="AL5" s="1005"/>
      <c r="AM5" s="1005"/>
      <c r="AN5" s="1005"/>
      <c r="AO5" s="1005"/>
      <c r="AP5" s="1005"/>
      <c r="AQ5" s="999" t="s">
        <v>8</v>
      </c>
      <c r="AR5" s="999" t="s">
        <v>9</v>
      </c>
      <c r="AS5" s="164"/>
      <c r="AT5" s="20" t="s">
        <v>39</v>
      </c>
      <c r="AU5" s="15" t="s">
        <v>30</v>
      </c>
      <c r="AV5" s="16" t="s">
        <v>31</v>
      </c>
      <c r="AW5" s="16" t="s">
        <v>32</v>
      </c>
      <c r="AX5" s="16" t="s">
        <v>33</v>
      </c>
    </row>
    <row r="6" spans="1:50" ht="68.25" customHeight="1" thickTop="1">
      <c r="A6" s="281" t="s">
        <v>42</v>
      </c>
      <c r="B6" s="281" t="s">
        <v>43</v>
      </c>
      <c r="C6" s="281" t="s">
        <v>11</v>
      </c>
      <c r="D6" s="281" t="s">
        <v>52</v>
      </c>
      <c r="E6" s="281" t="s">
        <v>47</v>
      </c>
      <c r="F6" s="281" t="s">
        <v>41</v>
      </c>
      <c r="G6" s="282" t="s">
        <v>46</v>
      </c>
      <c r="H6" s="281" t="s">
        <v>52</v>
      </c>
      <c r="I6" s="281" t="s">
        <v>12</v>
      </c>
      <c r="J6" s="281" t="s">
        <v>47</v>
      </c>
      <c r="K6" s="1003"/>
      <c r="L6" s="1003"/>
      <c r="M6" s="1004"/>
      <c r="N6" s="999"/>
      <c r="O6" s="999"/>
      <c r="P6" s="999"/>
      <c r="Q6" s="999"/>
      <c r="R6" s="999"/>
      <c r="S6" s="999"/>
      <c r="T6" s="281" t="s">
        <v>13</v>
      </c>
      <c r="U6" s="281" t="s">
        <v>14</v>
      </c>
      <c r="V6" s="252" t="s">
        <v>15</v>
      </c>
      <c r="W6" s="252" t="s">
        <v>16</v>
      </c>
      <c r="X6" s="255" t="s">
        <v>565</v>
      </c>
      <c r="Y6" s="255" t="s">
        <v>566</v>
      </c>
      <c r="Z6" s="255" t="s">
        <v>567</v>
      </c>
      <c r="AA6" s="255" t="s">
        <v>568</v>
      </c>
      <c r="AB6" s="255" t="s">
        <v>569</v>
      </c>
      <c r="AC6" s="255" t="s">
        <v>570</v>
      </c>
      <c r="AD6" s="255" t="s">
        <v>571</v>
      </c>
      <c r="AE6" s="255" t="s">
        <v>572</v>
      </c>
      <c r="AF6" s="255" t="s">
        <v>573</v>
      </c>
      <c r="AG6" s="255" t="s">
        <v>574</v>
      </c>
      <c r="AH6" s="255" t="s">
        <v>575</v>
      </c>
      <c r="AI6" s="255" t="s">
        <v>576</v>
      </c>
      <c r="AJ6" s="255" t="s">
        <v>577</v>
      </c>
      <c r="AK6" s="255" t="s">
        <v>578</v>
      </c>
      <c r="AL6" s="255" t="s">
        <v>579</v>
      </c>
      <c r="AM6" s="255" t="s">
        <v>580</v>
      </c>
      <c r="AN6" s="255" t="s">
        <v>581</v>
      </c>
      <c r="AO6" s="255" t="s">
        <v>584</v>
      </c>
      <c r="AP6" s="255" t="s">
        <v>582</v>
      </c>
      <c r="AQ6" s="999"/>
      <c r="AR6" s="999" t="s">
        <v>9</v>
      </c>
      <c r="AS6" s="164"/>
    </row>
    <row r="7" spans="1:50" s="1" customFormat="1" ht="131.25" customHeight="1">
      <c r="A7" s="991" t="s">
        <v>219</v>
      </c>
      <c r="B7" s="1000" t="s">
        <v>62</v>
      </c>
      <c r="C7" s="991" t="s">
        <v>59</v>
      </c>
      <c r="D7" s="991" t="s">
        <v>53</v>
      </c>
      <c r="E7" s="991">
        <v>40</v>
      </c>
      <c r="F7" s="991" t="s">
        <v>54</v>
      </c>
      <c r="G7" s="37" t="s">
        <v>55</v>
      </c>
      <c r="H7" s="37" t="s">
        <v>17</v>
      </c>
      <c r="I7" s="38">
        <v>1</v>
      </c>
      <c r="J7" s="39">
        <v>0</v>
      </c>
      <c r="K7" s="993"/>
      <c r="L7" s="993" t="s">
        <v>61</v>
      </c>
      <c r="M7" s="40" t="s">
        <v>362</v>
      </c>
      <c r="N7" s="41">
        <v>1</v>
      </c>
      <c r="O7" s="41" t="s">
        <v>17</v>
      </c>
      <c r="P7" s="41">
        <v>0</v>
      </c>
      <c r="Q7" s="41">
        <v>0</v>
      </c>
      <c r="R7" s="41">
        <v>1</v>
      </c>
      <c r="S7" s="41">
        <v>0</v>
      </c>
      <c r="T7" s="41" t="s">
        <v>23</v>
      </c>
      <c r="U7" s="998"/>
      <c r="V7" s="997">
        <f>100800000+230818764+41340218</f>
        <v>372958982</v>
      </c>
      <c r="W7" s="997">
        <f>V7</f>
        <v>372958982</v>
      </c>
      <c r="X7" s="42"/>
      <c r="Y7" s="246"/>
      <c r="Z7" s="246"/>
      <c r="AA7" s="246"/>
      <c r="AB7" s="246">
        <v>38984954</v>
      </c>
      <c r="AC7" s="246">
        <v>38984954</v>
      </c>
      <c r="AD7" s="42">
        <v>0</v>
      </c>
      <c r="AE7" s="246"/>
      <c r="AF7" s="246"/>
      <c r="AG7" s="246"/>
      <c r="AH7" s="246"/>
      <c r="AI7" s="246"/>
      <c r="AJ7" s="246"/>
      <c r="AK7" s="246"/>
      <c r="AL7" s="246"/>
      <c r="AM7" s="246"/>
      <c r="AN7" s="246"/>
      <c r="AO7" s="246"/>
      <c r="AP7" s="246"/>
      <c r="AQ7" s="41" t="s">
        <v>25</v>
      </c>
      <c r="AR7" s="41" t="s">
        <v>25</v>
      </c>
      <c r="AS7" s="994" t="s">
        <v>347</v>
      </c>
    </row>
    <row r="8" spans="1:50" s="1" customFormat="1" ht="131.25" customHeight="1">
      <c r="A8" s="991"/>
      <c r="B8" s="1000"/>
      <c r="C8" s="991"/>
      <c r="D8" s="991"/>
      <c r="E8" s="991"/>
      <c r="F8" s="991"/>
      <c r="G8" s="991" t="s">
        <v>56</v>
      </c>
      <c r="H8" s="991" t="s">
        <v>17</v>
      </c>
      <c r="I8" s="992">
        <v>1</v>
      </c>
      <c r="J8" s="993">
        <v>0</v>
      </c>
      <c r="K8" s="993"/>
      <c r="L8" s="993"/>
      <c r="M8" s="40" t="s">
        <v>363</v>
      </c>
      <c r="N8" s="41">
        <v>1</v>
      </c>
      <c r="O8" s="41" t="s">
        <v>17</v>
      </c>
      <c r="P8" s="41">
        <v>0</v>
      </c>
      <c r="Q8" s="41">
        <v>1</v>
      </c>
      <c r="R8" s="41">
        <v>0</v>
      </c>
      <c r="S8" s="41">
        <v>0</v>
      </c>
      <c r="T8" s="41"/>
      <c r="U8" s="998"/>
      <c r="V8" s="997"/>
      <c r="W8" s="997"/>
      <c r="X8" s="42"/>
      <c r="Y8" s="246"/>
      <c r="Z8" s="246"/>
      <c r="AA8" s="246"/>
      <c r="AB8" s="246">
        <v>38984953</v>
      </c>
      <c r="AC8" s="246">
        <v>38984953</v>
      </c>
      <c r="AD8" s="42">
        <v>0</v>
      </c>
      <c r="AE8" s="246"/>
      <c r="AF8" s="246"/>
      <c r="AG8" s="246"/>
      <c r="AH8" s="246"/>
      <c r="AI8" s="246"/>
      <c r="AJ8" s="246"/>
      <c r="AK8" s="246"/>
      <c r="AL8" s="246"/>
      <c r="AM8" s="246"/>
      <c r="AN8" s="246"/>
      <c r="AO8" s="246"/>
      <c r="AP8" s="246"/>
      <c r="AQ8" s="41" t="s">
        <v>25</v>
      </c>
      <c r="AR8" s="41" t="s">
        <v>25</v>
      </c>
      <c r="AS8" s="995"/>
    </row>
    <row r="9" spans="1:50" s="1" customFormat="1" ht="90.75" customHeight="1">
      <c r="A9" s="991"/>
      <c r="B9" s="1000"/>
      <c r="C9" s="36" t="s">
        <v>60</v>
      </c>
      <c r="D9" s="41" t="s">
        <v>53</v>
      </c>
      <c r="E9" s="41">
        <v>100</v>
      </c>
      <c r="F9" s="991"/>
      <c r="G9" s="991"/>
      <c r="H9" s="991"/>
      <c r="I9" s="992"/>
      <c r="J9" s="993"/>
      <c r="K9" s="993"/>
      <c r="L9" s="993"/>
      <c r="M9" s="40" t="s">
        <v>364</v>
      </c>
      <c r="N9" s="41">
        <v>1</v>
      </c>
      <c r="O9" s="41" t="s">
        <v>17</v>
      </c>
      <c r="P9" s="41">
        <v>0</v>
      </c>
      <c r="Q9" s="41">
        <v>0</v>
      </c>
      <c r="R9" s="41">
        <v>1</v>
      </c>
      <c r="S9" s="41">
        <v>0</v>
      </c>
      <c r="T9" s="41" t="s">
        <v>23</v>
      </c>
      <c r="U9" s="42"/>
      <c r="V9" s="246">
        <v>100800000</v>
      </c>
      <c r="W9" s="246">
        <f t="shared" ref="W9:W12" si="0">V9</f>
        <v>100800000</v>
      </c>
      <c r="X9" s="42"/>
      <c r="Y9" s="246"/>
      <c r="Z9" s="246"/>
      <c r="AA9" s="246"/>
      <c r="AB9" s="246">
        <v>24360000</v>
      </c>
      <c r="AC9" s="246">
        <v>24360000</v>
      </c>
      <c r="AD9" s="42">
        <v>0</v>
      </c>
      <c r="AE9" s="246"/>
      <c r="AF9" s="246"/>
      <c r="AG9" s="246"/>
      <c r="AH9" s="246"/>
      <c r="AI9" s="246"/>
      <c r="AJ9" s="246"/>
      <c r="AK9" s="246"/>
      <c r="AL9" s="246"/>
      <c r="AM9" s="246"/>
      <c r="AN9" s="246"/>
      <c r="AO9" s="246"/>
      <c r="AP9" s="246"/>
      <c r="AQ9" s="41" t="s">
        <v>25</v>
      </c>
      <c r="AR9" s="41" t="s">
        <v>25</v>
      </c>
      <c r="AS9" s="995"/>
    </row>
    <row r="10" spans="1:50" s="1" customFormat="1" ht="93.75" customHeight="1">
      <c r="A10" s="991"/>
      <c r="B10" s="1000"/>
      <c r="C10" s="36" t="s">
        <v>58</v>
      </c>
      <c r="D10" s="41" t="s">
        <v>53</v>
      </c>
      <c r="E10" s="41">
        <v>60</v>
      </c>
      <c r="F10" s="991"/>
      <c r="G10" s="37" t="s">
        <v>57</v>
      </c>
      <c r="H10" s="37" t="s">
        <v>17</v>
      </c>
      <c r="I10" s="38">
        <v>0</v>
      </c>
      <c r="J10" s="39">
        <v>8</v>
      </c>
      <c r="K10" s="993"/>
      <c r="L10" s="993"/>
      <c r="M10" s="40" t="s">
        <v>361</v>
      </c>
      <c r="N10" s="41">
        <v>8</v>
      </c>
      <c r="O10" s="41" t="s">
        <v>17</v>
      </c>
      <c r="P10" s="41">
        <v>1</v>
      </c>
      <c r="Q10" s="41">
        <v>3</v>
      </c>
      <c r="R10" s="41">
        <v>2</v>
      </c>
      <c r="S10" s="41">
        <v>2</v>
      </c>
      <c r="T10" s="41" t="s">
        <v>23</v>
      </c>
      <c r="U10" s="42"/>
      <c r="V10" s="246">
        <v>73184589</v>
      </c>
      <c r="W10" s="246">
        <f t="shared" si="0"/>
        <v>73184589</v>
      </c>
      <c r="X10" s="42"/>
      <c r="Y10" s="246"/>
      <c r="Z10" s="246"/>
      <c r="AA10" s="246"/>
      <c r="AB10" s="246">
        <v>18731769</v>
      </c>
      <c r="AC10" s="246">
        <v>18731769</v>
      </c>
      <c r="AD10" s="42">
        <v>0</v>
      </c>
      <c r="AE10" s="246"/>
      <c r="AF10" s="246"/>
      <c r="AG10" s="246"/>
      <c r="AH10" s="246"/>
      <c r="AI10" s="246"/>
      <c r="AJ10" s="246"/>
      <c r="AK10" s="246"/>
      <c r="AL10" s="246"/>
      <c r="AM10" s="246"/>
      <c r="AN10" s="246"/>
      <c r="AO10" s="246"/>
      <c r="AP10" s="246"/>
      <c r="AQ10" s="41" t="s">
        <v>25</v>
      </c>
      <c r="AR10" s="41" t="s">
        <v>25</v>
      </c>
      <c r="AS10" s="996"/>
    </row>
    <row r="11" spans="1:50" s="1" customFormat="1" ht="93.75" customHeight="1">
      <c r="A11" s="989" t="s">
        <v>607</v>
      </c>
      <c r="B11" s="989"/>
      <c r="C11" s="989"/>
      <c r="D11" s="989"/>
      <c r="E11" s="989"/>
      <c r="F11" s="989"/>
      <c r="G11" s="989"/>
      <c r="H11" s="989"/>
      <c r="I11" s="989"/>
      <c r="J11" s="989"/>
      <c r="K11" s="989"/>
      <c r="L11" s="989"/>
      <c r="M11" s="989"/>
      <c r="N11" s="108">
        <f>SUM(N7:N10)</f>
        <v>11</v>
      </c>
      <c r="O11" s="108"/>
      <c r="P11" s="108">
        <f>SUM(P7:P10)</f>
        <v>1</v>
      </c>
      <c r="Q11" s="108">
        <f t="shared" ref="Q11:S11" si="1">SUM(Q7:Q10)</f>
        <v>4</v>
      </c>
      <c r="R11" s="108">
        <f t="shared" si="1"/>
        <v>4</v>
      </c>
      <c r="S11" s="108">
        <f t="shared" si="1"/>
        <v>2</v>
      </c>
      <c r="T11" s="108"/>
      <c r="U11" s="110"/>
      <c r="V11" s="274">
        <f>V10+V9+V7</f>
        <v>546943571</v>
      </c>
      <c r="W11" s="274">
        <f>W10+W9+W7</f>
        <v>546943571</v>
      </c>
      <c r="X11" s="110">
        <f>SUM(X7:X10)</f>
        <v>0</v>
      </c>
      <c r="Y11" s="110">
        <f t="shared" ref="Y11:AA11" si="2">SUM(Y7:Y10)</f>
        <v>0</v>
      </c>
      <c r="Z11" s="110">
        <f t="shared" si="2"/>
        <v>0</v>
      </c>
      <c r="AA11" s="110">
        <f t="shared" si="2"/>
        <v>0</v>
      </c>
      <c r="AB11" s="274">
        <f>SUM(AB7:AB10)</f>
        <v>121061676</v>
      </c>
      <c r="AC11" s="274">
        <f t="shared" ref="AC11:AE11" si="3">SUM(AC7:AC10)</f>
        <v>121061676</v>
      </c>
      <c r="AD11" s="274">
        <f t="shared" si="3"/>
        <v>0</v>
      </c>
      <c r="AE11" s="274">
        <f t="shared" si="3"/>
        <v>0</v>
      </c>
      <c r="AF11" s="274">
        <f>SUM(AF7:AF10)</f>
        <v>0</v>
      </c>
      <c r="AG11" s="274">
        <f t="shared" ref="AG11" si="4">SUM(AG7:AG10)</f>
        <v>0</v>
      </c>
      <c r="AH11" s="274"/>
      <c r="AI11" s="274"/>
      <c r="AJ11" s="274"/>
      <c r="AK11" s="274"/>
      <c r="AL11" s="274"/>
      <c r="AM11" s="274"/>
      <c r="AN11" s="274"/>
      <c r="AO11" s="274"/>
      <c r="AP11" s="274"/>
      <c r="AQ11" s="108"/>
      <c r="AR11" s="108"/>
      <c r="AS11" s="257"/>
    </row>
    <row r="12" spans="1:50" s="1" customFormat="1" ht="115.5" customHeight="1">
      <c r="A12" s="991" t="s">
        <v>324</v>
      </c>
      <c r="B12" s="991" t="s">
        <v>325</v>
      </c>
      <c r="C12" s="991" t="s">
        <v>326</v>
      </c>
      <c r="D12" s="991" t="s">
        <v>82</v>
      </c>
      <c r="E12" s="991">
        <v>1.47</v>
      </c>
      <c r="F12" s="991" t="s">
        <v>327</v>
      </c>
      <c r="G12" s="37" t="s">
        <v>64</v>
      </c>
      <c r="H12" s="37" t="s">
        <v>18</v>
      </c>
      <c r="I12" s="38">
        <v>20</v>
      </c>
      <c r="J12" s="39">
        <v>70</v>
      </c>
      <c r="K12" s="993"/>
      <c r="L12" s="993" t="s">
        <v>328</v>
      </c>
      <c r="M12" s="49" t="s">
        <v>392</v>
      </c>
      <c r="N12" s="41">
        <v>3</v>
      </c>
      <c r="O12" s="41" t="s">
        <v>17</v>
      </c>
      <c r="P12" s="41">
        <v>0</v>
      </c>
      <c r="Q12" s="41">
        <v>1</v>
      </c>
      <c r="R12" s="41">
        <v>1</v>
      </c>
      <c r="S12" s="41">
        <v>1</v>
      </c>
      <c r="T12" s="41" t="s">
        <v>23</v>
      </c>
      <c r="U12" s="998"/>
      <c r="V12" s="997">
        <f>63000000+48000000</f>
        <v>111000000</v>
      </c>
      <c r="W12" s="997">
        <f t="shared" si="0"/>
        <v>111000000</v>
      </c>
      <c r="X12" s="42"/>
      <c r="Y12" s="246"/>
      <c r="Z12" s="246"/>
      <c r="AA12" s="246"/>
      <c r="AB12" s="246">
        <v>5443333</v>
      </c>
      <c r="AC12" s="246">
        <v>5443333</v>
      </c>
      <c r="AD12" s="246"/>
      <c r="AE12" s="246"/>
      <c r="AF12" s="246"/>
      <c r="AG12" s="246"/>
      <c r="AH12" s="246"/>
      <c r="AI12" s="246"/>
      <c r="AJ12" s="246"/>
      <c r="AK12" s="246"/>
      <c r="AL12" s="246"/>
      <c r="AM12" s="246"/>
      <c r="AN12" s="246"/>
      <c r="AO12" s="246"/>
      <c r="AP12" s="246"/>
      <c r="AQ12" s="41" t="s">
        <v>21</v>
      </c>
      <c r="AR12" s="41" t="s">
        <v>21</v>
      </c>
      <c r="AS12" s="994" t="s">
        <v>355</v>
      </c>
    </row>
    <row r="13" spans="1:50" s="1" customFormat="1" ht="113.25" customHeight="1">
      <c r="A13" s="991"/>
      <c r="B13" s="991"/>
      <c r="C13" s="991"/>
      <c r="D13" s="991"/>
      <c r="E13" s="991"/>
      <c r="F13" s="991"/>
      <c r="G13" s="37" t="s">
        <v>65</v>
      </c>
      <c r="H13" s="37" t="s">
        <v>18</v>
      </c>
      <c r="I13" s="38">
        <v>20</v>
      </c>
      <c r="J13" s="39">
        <v>100</v>
      </c>
      <c r="K13" s="993"/>
      <c r="L13" s="993"/>
      <c r="M13" s="40" t="s">
        <v>393</v>
      </c>
      <c r="N13" s="41">
        <v>1</v>
      </c>
      <c r="O13" s="41" t="s">
        <v>259</v>
      </c>
      <c r="P13" s="41">
        <v>0</v>
      </c>
      <c r="Q13" s="41">
        <v>0</v>
      </c>
      <c r="R13" s="41">
        <v>0</v>
      </c>
      <c r="S13" s="41">
        <v>1</v>
      </c>
      <c r="T13" s="41" t="s">
        <v>23</v>
      </c>
      <c r="U13" s="998"/>
      <c r="V13" s="997"/>
      <c r="W13" s="997"/>
      <c r="X13" s="42"/>
      <c r="Y13" s="246"/>
      <c r="Z13" s="246"/>
      <c r="AA13" s="246"/>
      <c r="AB13" s="246">
        <v>5443333</v>
      </c>
      <c r="AC13" s="246">
        <v>5443333</v>
      </c>
      <c r="AD13" s="246"/>
      <c r="AE13" s="246"/>
      <c r="AF13" s="246"/>
      <c r="AG13" s="246"/>
      <c r="AH13" s="246"/>
      <c r="AI13" s="246"/>
      <c r="AJ13" s="246"/>
      <c r="AK13" s="246"/>
      <c r="AL13" s="246"/>
      <c r="AM13" s="246"/>
      <c r="AN13" s="246"/>
      <c r="AO13" s="246"/>
      <c r="AP13" s="246"/>
      <c r="AQ13" s="41" t="s">
        <v>21</v>
      </c>
      <c r="AR13" s="41" t="s">
        <v>21</v>
      </c>
      <c r="AS13" s="995"/>
    </row>
    <row r="14" spans="1:50" s="1" customFormat="1" ht="123" customHeight="1">
      <c r="A14" s="991"/>
      <c r="B14" s="991"/>
      <c r="C14" s="991"/>
      <c r="D14" s="991" t="s">
        <v>63</v>
      </c>
      <c r="E14" s="991"/>
      <c r="F14" s="991"/>
      <c r="G14" s="37" t="s">
        <v>66</v>
      </c>
      <c r="H14" s="37" t="s">
        <v>18</v>
      </c>
      <c r="I14" s="38">
        <v>100</v>
      </c>
      <c r="J14" s="39">
        <v>100</v>
      </c>
      <c r="K14" s="993"/>
      <c r="L14" s="993"/>
      <c r="M14" s="182" t="s">
        <v>394</v>
      </c>
      <c r="N14" s="41">
        <v>1</v>
      </c>
      <c r="O14" s="41" t="s">
        <v>259</v>
      </c>
      <c r="P14" s="41">
        <v>0</v>
      </c>
      <c r="Q14" s="41">
        <v>0</v>
      </c>
      <c r="R14" s="41">
        <v>0</v>
      </c>
      <c r="S14" s="41">
        <v>1</v>
      </c>
      <c r="T14" s="41" t="s">
        <v>23</v>
      </c>
      <c r="U14" s="998"/>
      <c r="V14" s="997"/>
      <c r="W14" s="997"/>
      <c r="X14" s="42"/>
      <c r="Y14" s="246"/>
      <c r="Z14" s="246"/>
      <c r="AA14" s="246"/>
      <c r="AB14" s="246">
        <v>5443333</v>
      </c>
      <c r="AC14" s="246">
        <v>5443333</v>
      </c>
      <c r="AD14" s="246"/>
      <c r="AE14" s="246"/>
      <c r="AF14" s="246"/>
      <c r="AG14" s="246"/>
      <c r="AH14" s="246"/>
      <c r="AI14" s="246"/>
      <c r="AJ14" s="246"/>
      <c r="AK14" s="246"/>
      <c r="AL14" s="246"/>
      <c r="AM14" s="246"/>
      <c r="AN14" s="246"/>
      <c r="AO14" s="246"/>
      <c r="AP14" s="246"/>
      <c r="AQ14" s="41" t="s">
        <v>21</v>
      </c>
      <c r="AR14" s="41" t="s">
        <v>21</v>
      </c>
      <c r="AS14" s="995"/>
    </row>
    <row r="15" spans="1:50" s="1" customFormat="1" ht="123" customHeight="1">
      <c r="A15" s="991"/>
      <c r="B15" s="991"/>
      <c r="C15" s="991"/>
      <c r="D15" s="991"/>
      <c r="E15" s="991"/>
      <c r="F15" s="991"/>
      <c r="G15" s="37" t="s">
        <v>67</v>
      </c>
      <c r="H15" s="37" t="s">
        <v>68</v>
      </c>
      <c r="I15" s="39" t="s">
        <v>51</v>
      </c>
      <c r="J15" s="39">
        <v>1</v>
      </c>
      <c r="K15" s="993"/>
      <c r="L15" s="993"/>
      <c r="M15" s="182" t="s">
        <v>395</v>
      </c>
      <c r="N15" s="41">
        <v>1</v>
      </c>
      <c r="O15" s="41" t="s">
        <v>259</v>
      </c>
      <c r="P15" s="41">
        <v>0</v>
      </c>
      <c r="Q15" s="41">
        <v>0</v>
      </c>
      <c r="R15" s="41">
        <v>1</v>
      </c>
      <c r="S15" s="41">
        <v>0</v>
      </c>
      <c r="T15" s="41" t="s">
        <v>23</v>
      </c>
      <c r="U15" s="998"/>
      <c r="V15" s="997"/>
      <c r="W15" s="997"/>
      <c r="X15" s="42"/>
      <c r="Y15" s="246"/>
      <c r="Z15" s="246"/>
      <c r="AA15" s="246"/>
      <c r="AB15" s="246">
        <v>5443333</v>
      </c>
      <c r="AC15" s="246">
        <v>5443333</v>
      </c>
      <c r="AD15" s="246"/>
      <c r="AE15" s="246"/>
      <c r="AF15" s="246"/>
      <c r="AG15" s="246"/>
      <c r="AH15" s="246"/>
      <c r="AI15" s="246"/>
      <c r="AJ15" s="246"/>
      <c r="AK15" s="246"/>
      <c r="AL15" s="246"/>
      <c r="AM15" s="246"/>
      <c r="AN15" s="246"/>
      <c r="AO15" s="246"/>
      <c r="AP15" s="246"/>
      <c r="AQ15" s="41" t="s">
        <v>21</v>
      </c>
      <c r="AR15" s="41" t="s">
        <v>21</v>
      </c>
      <c r="AS15" s="995"/>
    </row>
    <row r="16" spans="1:50" s="1" customFormat="1" ht="125.25" customHeight="1">
      <c r="A16" s="991"/>
      <c r="B16" s="991"/>
      <c r="C16" s="991"/>
      <c r="D16" s="991"/>
      <c r="E16" s="991"/>
      <c r="F16" s="991"/>
      <c r="G16" s="37" t="s">
        <v>313</v>
      </c>
      <c r="H16" s="37" t="s">
        <v>18</v>
      </c>
      <c r="I16" s="39">
        <v>20</v>
      </c>
      <c r="J16" s="39">
        <v>80</v>
      </c>
      <c r="K16" s="993"/>
      <c r="L16" s="993"/>
      <c r="M16" s="40" t="s">
        <v>396</v>
      </c>
      <c r="N16" s="41">
        <v>16</v>
      </c>
      <c r="O16" s="41" t="s">
        <v>259</v>
      </c>
      <c r="P16" s="41">
        <v>4</v>
      </c>
      <c r="Q16" s="41">
        <v>2</v>
      </c>
      <c r="R16" s="41">
        <v>6</v>
      </c>
      <c r="S16" s="41">
        <v>4</v>
      </c>
      <c r="T16" s="41" t="s">
        <v>23</v>
      </c>
      <c r="U16" s="998"/>
      <c r="V16" s="997"/>
      <c r="W16" s="997"/>
      <c r="X16" s="42"/>
      <c r="Y16" s="246"/>
      <c r="Z16" s="246"/>
      <c r="AA16" s="246"/>
      <c r="AB16" s="246">
        <v>5443334</v>
      </c>
      <c r="AC16" s="246">
        <v>5443334</v>
      </c>
      <c r="AD16" s="246"/>
      <c r="AE16" s="246"/>
      <c r="AF16" s="246"/>
      <c r="AG16" s="246"/>
      <c r="AH16" s="246"/>
      <c r="AI16" s="246"/>
      <c r="AJ16" s="246"/>
      <c r="AK16" s="246"/>
      <c r="AL16" s="246"/>
      <c r="AM16" s="246"/>
      <c r="AN16" s="246"/>
      <c r="AO16" s="246"/>
      <c r="AP16" s="246"/>
      <c r="AQ16" s="41" t="s">
        <v>21</v>
      </c>
      <c r="AR16" s="41" t="s">
        <v>21</v>
      </c>
      <c r="AS16" s="996"/>
    </row>
    <row r="17" spans="1:45" s="1" customFormat="1" ht="125.25" customHeight="1">
      <c r="A17" s="990" t="s">
        <v>607</v>
      </c>
      <c r="B17" s="990"/>
      <c r="C17" s="990"/>
      <c r="D17" s="990"/>
      <c r="E17" s="990"/>
      <c r="F17" s="990"/>
      <c r="G17" s="990"/>
      <c r="H17" s="990"/>
      <c r="I17" s="990"/>
      <c r="J17" s="990"/>
      <c r="K17" s="990"/>
      <c r="L17" s="990"/>
      <c r="M17" s="990"/>
      <c r="N17" s="105">
        <f>SUM(N12:N16)</f>
        <v>22</v>
      </c>
      <c r="O17" s="105" t="s">
        <v>638</v>
      </c>
      <c r="P17" s="105">
        <f t="shared" ref="P17:S17" si="5">SUM(P12:P16)</f>
        <v>4</v>
      </c>
      <c r="Q17" s="105">
        <f t="shared" si="5"/>
        <v>3</v>
      </c>
      <c r="R17" s="105">
        <f t="shared" si="5"/>
        <v>8</v>
      </c>
      <c r="S17" s="105">
        <f t="shared" si="5"/>
        <v>7</v>
      </c>
      <c r="T17" s="105"/>
      <c r="U17" s="105"/>
      <c r="V17" s="329">
        <f>V12</f>
        <v>111000000</v>
      </c>
      <c r="W17" s="329">
        <f>W12</f>
        <v>111000000</v>
      </c>
      <c r="X17" s="105">
        <f>X16+X15+X14+X13+X12</f>
        <v>0</v>
      </c>
      <c r="Y17" s="105">
        <f t="shared" ref="Y17:AA17" si="6">Y16+Y15+Y14+Y13+Y12</f>
        <v>0</v>
      </c>
      <c r="Z17" s="105">
        <f t="shared" si="6"/>
        <v>0</v>
      </c>
      <c r="AA17" s="105">
        <f t="shared" si="6"/>
        <v>0</v>
      </c>
      <c r="AB17" s="329">
        <f>AB16+AB15+AB14+AB13+AB12</f>
        <v>27216666</v>
      </c>
      <c r="AC17" s="329">
        <f t="shared" ref="AC17:AG17" si="7">AC16+AC15+AC14+AC13+AC12</f>
        <v>27216666</v>
      </c>
      <c r="AD17" s="329">
        <f t="shared" si="7"/>
        <v>0</v>
      </c>
      <c r="AE17" s="329">
        <f t="shared" si="7"/>
        <v>0</v>
      </c>
      <c r="AF17" s="329">
        <f t="shared" si="7"/>
        <v>0</v>
      </c>
      <c r="AG17" s="329">
        <f t="shared" si="7"/>
        <v>0</v>
      </c>
      <c r="AH17" s="105"/>
      <c r="AI17" s="105"/>
      <c r="AJ17" s="105"/>
      <c r="AK17" s="105"/>
      <c r="AL17" s="105"/>
      <c r="AM17" s="105"/>
      <c r="AN17" s="105"/>
      <c r="AO17" s="105"/>
      <c r="AP17" s="105"/>
      <c r="AQ17" s="105"/>
      <c r="AR17" s="105"/>
      <c r="AS17" s="257"/>
    </row>
    <row r="18" spans="1:45" s="1" customFormat="1" ht="115.5" customHeight="1">
      <c r="A18" s="991" t="s">
        <v>220</v>
      </c>
      <c r="B18" s="991" t="s">
        <v>69</v>
      </c>
      <c r="C18" s="37" t="s">
        <v>70</v>
      </c>
      <c r="D18" s="991" t="s">
        <v>53</v>
      </c>
      <c r="E18" s="991">
        <v>95</v>
      </c>
      <c r="F18" s="991" t="s">
        <v>71</v>
      </c>
      <c r="G18" s="991" t="s">
        <v>72</v>
      </c>
      <c r="H18" s="991" t="s">
        <v>17</v>
      </c>
      <c r="I18" s="993" t="s">
        <v>51</v>
      </c>
      <c r="J18" s="993">
        <v>4</v>
      </c>
      <c r="K18" s="993"/>
      <c r="L18" s="991" t="s">
        <v>93</v>
      </c>
      <c r="M18" s="40" t="s">
        <v>357</v>
      </c>
      <c r="N18" s="41">
        <v>4</v>
      </c>
      <c r="O18" s="41" t="s">
        <v>17</v>
      </c>
      <c r="P18" s="41">
        <v>0</v>
      </c>
      <c r="Q18" s="41">
        <v>2</v>
      </c>
      <c r="R18" s="41">
        <v>2</v>
      </c>
      <c r="S18" s="41">
        <v>0</v>
      </c>
      <c r="T18" s="991" t="s">
        <v>23</v>
      </c>
      <c r="U18" s="991"/>
      <c r="V18" s="997">
        <f>63000000+48000000</f>
        <v>111000000</v>
      </c>
      <c r="W18" s="997">
        <f>V18</f>
        <v>111000000</v>
      </c>
      <c r="X18" s="42"/>
      <c r="Y18" s="246"/>
      <c r="Z18" s="246"/>
      <c r="AA18" s="246"/>
      <c r="AB18" s="246">
        <v>6390416</v>
      </c>
      <c r="AC18" s="246">
        <v>6390416</v>
      </c>
      <c r="AD18" s="246"/>
      <c r="AE18" s="246"/>
      <c r="AF18" s="246"/>
      <c r="AG18" s="246"/>
      <c r="AH18" s="246"/>
      <c r="AI18" s="246"/>
      <c r="AJ18" s="246"/>
      <c r="AK18" s="246"/>
      <c r="AL18" s="246"/>
      <c r="AM18" s="246"/>
      <c r="AN18" s="246"/>
      <c r="AO18" s="246"/>
      <c r="AP18" s="246"/>
      <c r="AQ18" s="991" t="s">
        <v>28</v>
      </c>
      <c r="AR18" s="991" t="s">
        <v>28</v>
      </c>
      <c r="AS18" s="994" t="s">
        <v>356</v>
      </c>
    </row>
    <row r="19" spans="1:45" s="1" customFormat="1" ht="115.5" customHeight="1">
      <c r="A19" s="991"/>
      <c r="B19" s="991"/>
      <c r="C19" s="37"/>
      <c r="D19" s="991"/>
      <c r="E19" s="991"/>
      <c r="F19" s="991"/>
      <c r="G19" s="991"/>
      <c r="H19" s="991"/>
      <c r="I19" s="993"/>
      <c r="J19" s="993"/>
      <c r="K19" s="993"/>
      <c r="L19" s="991"/>
      <c r="M19" s="40" t="s">
        <v>359</v>
      </c>
      <c r="N19" s="41">
        <v>4</v>
      </c>
      <c r="O19" s="41" t="s">
        <v>17</v>
      </c>
      <c r="P19" s="41">
        <v>1</v>
      </c>
      <c r="Q19" s="41">
        <v>1</v>
      </c>
      <c r="R19" s="41">
        <v>1</v>
      </c>
      <c r="S19" s="41">
        <v>1</v>
      </c>
      <c r="T19" s="991"/>
      <c r="U19" s="991"/>
      <c r="V19" s="997"/>
      <c r="W19" s="997"/>
      <c r="X19" s="42"/>
      <c r="Y19" s="246"/>
      <c r="Z19" s="246"/>
      <c r="AA19" s="246"/>
      <c r="AB19" s="246">
        <v>6390417</v>
      </c>
      <c r="AC19" s="246">
        <v>6390417</v>
      </c>
      <c r="AD19" s="246"/>
      <c r="AE19" s="246"/>
      <c r="AF19" s="246"/>
      <c r="AG19" s="246"/>
      <c r="AH19" s="246"/>
      <c r="AI19" s="246"/>
      <c r="AJ19" s="246"/>
      <c r="AK19" s="246"/>
      <c r="AL19" s="246"/>
      <c r="AM19" s="246"/>
      <c r="AN19" s="246"/>
      <c r="AO19" s="246"/>
      <c r="AP19" s="246"/>
      <c r="AQ19" s="991"/>
      <c r="AR19" s="991"/>
      <c r="AS19" s="995"/>
    </row>
    <row r="20" spans="1:45" s="1" customFormat="1" ht="135.75" customHeight="1">
      <c r="A20" s="991"/>
      <c r="B20" s="991"/>
      <c r="C20" s="37"/>
      <c r="D20" s="991"/>
      <c r="E20" s="991"/>
      <c r="F20" s="991"/>
      <c r="G20" s="37" t="s">
        <v>73</v>
      </c>
      <c r="H20" s="37" t="s">
        <v>18</v>
      </c>
      <c r="I20" s="39">
        <v>100</v>
      </c>
      <c r="J20" s="39">
        <v>100</v>
      </c>
      <c r="K20" s="258"/>
      <c r="L20" s="37" t="s">
        <v>94</v>
      </c>
      <c r="M20" s="40" t="s">
        <v>397</v>
      </c>
      <c r="N20" s="41">
        <v>100</v>
      </c>
      <c r="O20" s="41" t="s">
        <v>358</v>
      </c>
      <c r="P20" s="41">
        <v>25</v>
      </c>
      <c r="Q20" s="41">
        <v>25</v>
      </c>
      <c r="R20" s="41">
        <v>25</v>
      </c>
      <c r="S20" s="41">
        <v>25</v>
      </c>
      <c r="T20" s="42" t="s">
        <v>23</v>
      </c>
      <c r="U20" s="41"/>
      <c r="V20" s="997"/>
      <c r="W20" s="997"/>
      <c r="X20" s="42"/>
      <c r="Y20" s="246"/>
      <c r="Z20" s="246"/>
      <c r="AA20" s="246"/>
      <c r="AB20" s="246">
        <v>6390417</v>
      </c>
      <c r="AC20" s="246">
        <v>6390417</v>
      </c>
      <c r="AD20" s="246"/>
      <c r="AE20" s="246"/>
      <c r="AF20" s="246"/>
      <c r="AG20" s="246"/>
      <c r="AH20" s="246"/>
      <c r="AI20" s="246"/>
      <c r="AJ20" s="246"/>
      <c r="AK20" s="246"/>
      <c r="AL20" s="246"/>
      <c r="AM20" s="246"/>
      <c r="AN20" s="246"/>
      <c r="AO20" s="246"/>
      <c r="AP20" s="246"/>
      <c r="AQ20" s="991" t="s">
        <v>28</v>
      </c>
      <c r="AR20" s="991" t="s">
        <v>28</v>
      </c>
      <c r="AS20" s="996"/>
    </row>
    <row r="21" spans="1:45" s="1" customFormat="1" ht="135.75" customHeight="1">
      <c r="A21" s="41"/>
      <c r="B21" s="991"/>
      <c r="C21" s="41"/>
      <c r="D21" s="41"/>
      <c r="E21" s="41"/>
      <c r="F21" s="41"/>
      <c r="G21" s="37"/>
      <c r="H21" s="37"/>
      <c r="I21" s="39"/>
      <c r="J21" s="39"/>
      <c r="K21" s="258"/>
      <c r="L21" s="37"/>
      <c r="M21" s="40" t="s">
        <v>360</v>
      </c>
      <c r="N21" s="41">
        <v>10</v>
      </c>
      <c r="O21" s="41" t="s">
        <v>19</v>
      </c>
      <c r="P21" s="41">
        <v>1</v>
      </c>
      <c r="Q21" s="41">
        <v>3</v>
      </c>
      <c r="R21" s="41">
        <v>3</v>
      </c>
      <c r="S21" s="41">
        <v>3</v>
      </c>
      <c r="T21" s="42"/>
      <c r="U21" s="41"/>
      <c r="V21" s="997"/>
      <c r="W21" s="997"/>
      <c r="X21" s="42"/>
      <c r="Y21" s="246"/>
      <c r="Z21" s="246"/>
      <c r="AA21" s="246"/>
      <c r="AB21" s="246">
        <v>6390416</v>
      </c>
      <c r="AC21" s="246">
        <v>6390416</v>
      </c>
      <c r="AD21" s="246"/>
      <c r="AE21" s="246"/>
      <c r="AF21" s="246"/>
      <c r="AG21" s="246"/>
      <c r="AH21" s="246"/>
      <c r="AI21" s="246"/>
      <c r="AJ21" s="246"/>
      <c r="AK21" s="246"/>
      <c r="AL21" s="246"/>
      <c r="AM21" s="246"/>
      <c r="AN21" s="246"/>
      <c r="AO21" s="246"/>
      <c r="AP21" s="246"/>
      <c r="AQ21" s="991"/>
      <c r="AR21" s="991"/>
      <c r="AS21" s="257"/>
    </row>
    <row r="22" spans="1:45" s="1" customFormat="1" ht="51" customHeight="1">
      <c r="A22" s="989" t="s">
        <v>607</v>
      </c>
      <c r="B22" s="989"/>
      <c r="C22" s="989"/>
      <c r="D22" s="989"/>
      <c r="E22" s="989"/>
      <c r="F22" s="989"/>
      <c r="G22" s="989"/>
      <c r="H22" s="989"/>
      <c r="I22" s="989"/>
      <c r="J22" s="989"/>
      <c r="K22" s="989"/>
      <c r="L22" s="989"/>
      <c r="M22" s="989"/>
      <c r="N22" s="108">
        <f>N21+N19+N18</f>
        <v>18</v>
      </c>
      <c r="O22" s="108" t="s">
        <v>452</v>
      </c>
      <c r="P22" s="108">
        <f>SUM(P18:P21)</f>
        <v>27</v>
      </c>
      <c r="Q22" s="108">
        <f t="shared" ref="Q22" si="8">SUM(Q18:Q21)</f>
        <v>31</v>
      </c>
      <c r="R22" s="108">
        <f t="shared" ref="R22" si="9">SUM(R18:R21)</f>
        <v>31</v>
      </c>
      <c r="S22" s="108">
        <f t="shared" ref="S22" si="10">SUM(S18:S21)</f>
        <v>29</v>
      </c>
      <c r="T22" s="108"/>
      <c r="U22" s="110"/>
      <c r="V22" s="986">
        <f>V21+V20+V18</f>
        <v>111000000</v>
      </c>
      <c r="W22" s="986">
        <f>W21+W20+W18</f>
        <v>111000000</v>
      </c>
      <c r="X22" s="110">
        <f>SUM(X18:X21)</f>
        <v>0</v>
      </c>
      <c r="Y22" s="110">
        <f t="shared" ref="Y22" si="11">SUM(Y18:Y21)</f>
        <v>0</v>
      </c>
      <c r="Z22" s="110">
        <f t="shared" ref="Z22" si="12">SUM(Z18:Z21)</f>
        <v>0</v>
      </c>
      <c r="AA22" s="110">
        <f t="shared" ref="AA22" si="13">SUM(AA18:AA21)</f>
        <v>0</v>
      </c>
      <c r="AB22" s="986">
        <f>SUM(AB18:AB21)</f>
        <v>25561666</v>
      </c>
      <c r="AC22" s="986">
        <f t="shared" ref="AC22" si="14">SUM(AC18:AC21)</f>
        <v>25561666</v>
      </c>
      <c r="AD22" s="986">
        <f t="shared" ref="AD22" si="15">SUM(AD18:AD21)</f>
        <v>0</v>
      </c>
      <c r="AE22" s="986">
        <f t="shared" ref="AE22" si="16">SUM(AE18:AE21)</f>
        <v>0</v>
      </c>
      <c r="AF22" s="986">
        <f>SUM(AF18:AF21)</f>
        <v>0</v>
      </c>
      <c r="AG22" s="986">
        <f t="shared" ref="AG22" si="17">SUM(AG18:AG21)</f>
        <v>0</v>
      </c>
      <c r="AH22" s="274"/>
      <c r="AI22" s="274"/>
      <c r="AJ22" s="274"/>
      <c r="AK22" s="274"/>
      <c r="AL22" s="274"/>
      <c r="AM22" s="274"/>
      <c r="AN22" s="274"/>
      <c r="AO22" s="274"/>
      <c r="AP22" s="274"/>
      <c r="AQ22" s="108"/>
      <c r="AR22" s="108"/>
      <c r="AS22" s="254"/>
    </row>
    <row r="23" spans="1:45" s="1" customFormat="1" ht="47.25" customHeight="1">
      <c r="A23" s="989"/>
      <c r="B23" s="989"/>
      <c r="C23" s="989"/>
      <c r="D23" s="989"/>
      <c r="E23" s="989"/>
      <c r="F23" s="989"/>
      <c r="G23" s="989"/>
      <c r="H23" s="989"/>
      <c r="I23" s="989"/>
      <c r="J23" s="989"/>
      <c r="K23" s="989"/>
      <c r="L23" s="989"/>
      <c r="M23" s="989"/>
      <c r="N23" s="108">
        <f>N20</f>
        <v>100</v>
      </c>
      <c r="O23" s="108" t="s">
        <v>358</v>
      </c>
      <c r="P23" s="108">
        <f t="shared" ref="P23:S23" si="18">P20</f>
        <v>25</v>
      </c>
      <c r="Q23" s="108">
        <f t="shared" si="18"/>
        <v>25</v>
      </c>
      <c r="R23" s="108">
        <f t="shared" si="18"/>
        <v>25</v>
      </c>
      <c r="S23" s="108">
        <f t="shared" si="18"/>
        <v>25</v>
      </c>
      <c r="T23" s="108"/>
      <c r="U23" s="110"/>
      <c r="V23" s="986"/>
      <c r="W23" s="986"/>
      <c r="X23" s="110">
        <f>X20</f>
        <v>0</v>
      </c>
      <c r="Y23" s="110">
        <f t="shared" ref="Y23:AA23" si="19">Y20</f>
        <v>0</v>
      </c>
      <c r="Z23" s="110">
        <f t="shared" si="19"/>
        <v>0</v>
      </c>
      <c r="AA23" s="110">
        <f t="shared" si="19"/>
        <v>0</v>
      </c>
      <c r="AB23" s="986"/>
      <c r="AC23" s="986"/>
      <c r="AD23" s="986"/>
      <c r="AE23" s="986"/>
      <c r="AF23" s="986"/>
      <c r="AG23" s="986"/>
      <c r="AH23" s="274"/>
      <c r="AI23" s="274"/>
      <c r="AJ23" s="274"/>
      <c r="AK23" s="274"/>
      <c r="AL23" s="274"/>
      <c r="AM23" s="274"/>
      <c r="AN23" s="274"/>
      <c r="AO23" s="274"/>
      <c r="AP23" s="274"/>
      <c r="AQ23" s="108"/>
      <c r="AR23" s="108"/>
      <c r="AS23" s="254"/>
    </row>
    <row r="24" spans="1:45" s="1" customFormat="1">
      <c r="A24" s="3"/>
      <c r="B24" s="3"/>
      <c r="C24" s="3"/>
      <c r="D24" s="3"/>
      <c r="E24" s="3"/>
      <c r="F24" s="3"/>
      <c r="G24" s="3"/>
      <c r="H24" s="3"/>
      <c r="M24" s="5"/>
      <c r="N24" s="3"/>
      <c r="O24" s="3"/>
      <c r="P24" s="3"/>
      <c r="Q24" s="3"/>
      <c r="R24" s="3"/>
      <c r="S24" s="3"/>
      <c r="T24" s="3"/>
      <c r="U24" s="3"/>
      <c r="V24" s="7"/>
      <c r="W24" s="8"/>
      <c r="X24" s="8"/>
      <c r="Y24" s="8"/>
      <c r="Z24" s="8"/>
      <c r="AA24" s="8"/>
      <c r="AB24" s="8"/>
      <c r="AC24" s="8"/>
      <c r="AD24" s="8"/>
      <c r="AE24" s="8"/>
      <c r="AF24" s="8"/>
      <c r="AG24" s="8"/>
      <c r="AH24" s="8"/>
      <c r="AI24" s="8"/>
      <c r="AJ24" s="8"/>
      <c r="AK24" s="8"/>
      <c r="AL24" s="8"/>
      <c r="AM24" s="8"/>
      <c r="AN24" s="8"/>
      <c r="AO24" s="8"/>
      <c r="AP24" s="8"/>
      <c r="AQ24" s="3"/>
      <c r="AR24" s="3"/>
    </row>
    <row r="25" spans="1:45" s="1" customFormat="1" ht="28.5" customHeight="1">
      <c r="A25" s="987" t="s">
        <v>601</v>
      </c>
      <c r="B25" s="987"/>
      <c r="C25" s="987"/>
      <c r="D25" s="987"/>
      <c r="E25" s="987"/>
      <c r="F25" s="987"/>
      <c r="G25" s="987"/>
      <c r="H25" s="987"/>
      <c r="I25" s="987"/>
      <c r="J25" s="987"/>
      <c r="K25" s="987"/>
      <c r="L25" s="987"/>
      <c r="M25" s="987"/>
      <c r="N25" s="987"/>
      <c r="O25" s="987"/>
      <c r="P25" s="3"/>
      <c r="Q25" s="3"/>
      <c r="R25" s="3"/>
      <c r="S25" s="3"/>
      <c r="T25" s="3">
        <v>90692582256</v>
      </c>
      <c r="U25" s="3"/>
      <c r="V25" s="7"/>
      <c r="W25" s="8"/>
      <c r="X25" s="8"/>
      <c r="Y25" s="8"/>
      <c r="Z25" s="8"/>
      <c r="AA25" s="8"/>
      <c r="AB25" s="8"/>
      <c r="AC25" s="8"/>
      <c r="AD25" s="8"/>
      <c r="AE25" s="8"/>
      <c r="AF25" s="8"/>
      <c r="AG25" s="8"/>
      <c r="AH25" s="8"/>
      <c r="AI25" s="8"/>
      <c r="AJ25" s="8"/>
      <c r="AK25" s="8"/>
      <c r="AL25" s="8"/>
      <c r="AM25" s="8"/>
      <c r="AN25" s="8"/>
      <c r="AO25" s="8"/>
      <c r="AP25" s="8"/>
      <c r="AQ25" s="3"/>
      <c r="AR25" s="3"/>
    </row>
    <row r="26" spans="1:45" s="1" customFormat="1" ht="90">
      <c r="A26" s="269" t="s">
        <v>598</v>
      </c>
      <c r="B26" s="270" t="s">
        <v>587</v>
      </c>
      <c r="C26" s="270" t="s">
        <v>588</v>
      </c>
      <c r="D26" s="270" t="s">
        <v>589</v>
      </c>
      <c r="E26" s="270" t="s">
        <v>590</v>
      </c>
      <c r="F26" s="270" t="s">
        <v>589</v>
      </c>
      <c r="G26" s="270" t="s">
        <v>591</v>
      </c>
      <c r="H26" s="270" t="s">
        <v>589</v>
      </c>
      <c r="I26" s="270"/>
      <c r="J26" s="271"/>
      <c r="K26" s="271"/>
      <c r="L26" s="271"/>
      <c r="M26" s="270" t="s">
        <v>589</v>
      </c>
      <c r="N26" s="270" t="s">
        <v>592</v>
      </c>
      <c r="O26" s="270" t="s">
        <v>589</v>
      </c>
      <c r="P26" s="3"/>
      <c r="Q26" s="3"/>
      <c r="R26" s="3"/>
      <c r="S26" s="3"/>
      <c r="T26" s="3">
        <v>59707696938</v>
      </c>
      <c r="U26" s="3"/>
      <c r="V26" s="7"/>
      <c r="W26" s="11" t="e">
        <f>#REF!-#REF!</f>
        <v>#REF!</v>
      </c>
      <c r="X26" s="11"/>
      <c r="Y26" s="11"/>
      <c r="Z26" s="11"/>
      <c r="AA26" s="11"/>
      <c r="AB26" s="11"/>
      <c r="AC26" s="11"/>
      <c r="AD26" s="11"/>
      <c r="AE26" s="11"/>
      <c r="AF26" s="11"/>
      <c r="AG26" s="11"/>
      <c r="AH26" s="11"/>
      <c r="AI26" s="11"/>
      <c r="AJ26" s="11"/>
      <c r="AK26" s="11"/>
      <c r="AL26" s="11"/>
      <c r="AM26" s="11"/>
      <c r="AN26" s="11"/>
      <c r="AO26" s="11"/>
      <c r="AP26" s="11"/>
      <c r="AQ26" s="3"/>
      <c r="AR26" s="3"/>
    </row>
    <row r="27" spans="1:45" s="1" customFormat="1">
      <c r="A27" s="259" t="s">
        <v>599</v>
      </c>
      <c r="B27" s="259">
        <f>N11</f>
        <v>11</v>
      </c>
      <c r="C27" s="259">
        <f>X11</f>
        <v>0</v>
      </c>
      <c r="D27" s="266">
        <f>B27*C27/100</f>
        <v>0</v>
      </c>
      <c r="E27" s="259">
        <v>0</v>
      </c>
      <c r="F27" s="266">
        <f>E27*B27/100</f>
        <v>0</v>
      </c>
      <c r="G27" s="259">
        <f>Z11</f>
        <v>0</v>
      </c>
      <c r="H27" s="259"/>
      <c r="I27" s="260"/>
      <c r="J27" s="260"/>
      <c r="K27" s="260"/>
      <c r="L27" s="260"/>
      <c r="M27" s="308">
        <f>G27*B27/100</f>
        <v>0</v>
      </c>
      <c r="N27" s="259">
        <f>AA11</f>
        <v>0</v>
      </c>
      <c r="O27" s="266">
        <f>B27*N27/100</f>
        <v>0</v>
      </c>
      <c r="P27" s="3"/>
      <c r="Q27" s="3"/>
      <c r="R27" s="3"/>
      <c r="S27" s="3"/>
      <c r="T27" s="3">
        <f>+T25-T26</f>
        <v>30984885318</v>
      </c>
      <c r="U27" s="3"/>
      <c r="V27" s="7"/>
      <c r="W27" s="7"/>
      <c r="X27" s="7"/>
      <c r="Y27" s="7"/>
      <c r="Z27" s="7"/>
      <c r="AA27" s="7"/>
      <c r="AB27" s="7"/>
      <c r="AC27" s="7"/>
      <c r="AD27" s="7"/>
      <c r="AE27" s="7"/>
      <c r="AF27" s="7"/>
      <c r="AG27" s="7"/>
      <c r="AH27" s="7"/>
      <c r="AI27" s="7"/>
      <c r="AJ27" s="7"/>
      <c r="AK27" s="7"/>
      <c r="AL27" s="7"/>
      <c r="AM27" s="7"/>
      <c r="AN27" s="7"/>
      <c r="AO27" s="7"/>
      <c r="AP27" s="7"/>
      <c r="AQ27" s="3"/>
      <c r="AR27" s="3"/>
    </row>
    <row r="28" spans="1:45" s="1" customFormat="1">
      <c r="A28" s="259" t="s">
        <v>18</v>
      </c>
      <c r="B28" s="259">
        <v>0</v>
      </c>
      <c r="C28" s="259">
        <v>0</v>
      </c>
      <c r="D28" s="266">
        <f>B28*C28/100</f>
        <v>0</v>
      </c>
      <c r="E28" s="259">
        <v>0</v>
      </c>
      <c r="F28" s="266">
        <f>E28*B28/100</f>
        <v>0</v>
      </c>
      <c r="G28" s="259">
        <v>0</v>
      </c>
      <c r="H28" s="259"/>
      <c r="I28" s="260"/>
      <c r="J28" s="260"/>
      <c r="K28" s="260"/>
      <c r="L28" s="260"/>
      <c r="M28" s="308">
        <f>G28*B28/100</f>
        <v>0</v>
      </c>
      <c r="N28" s="259">
        <v>0</v>
      </c>
      <c r="O28" s="266">
        <f>B28*N28/100</f>
        <v>0</v>
      </c>
      <c r="P28" s="3"/>
      <c r="Q28" s="3"/>
      <c r="R28" s="3"/>
      <c r="S28" s="3"/>
      <c r="T28" s="3"/>
      <c r="U28" s="3"/>
      <c r="V28" s="7"/>
      <c r="W28" s="7"/>
      <c r="X28" s="7"/>
      <c r="Y28" s="7"/>
      <c r="Z28" s="7"/>
      <c r="AA28" s="7"/>
      <c r="AB28" s="7"/>
      <c r="AC28" s="7"/>
      <c r="AD28" s="7"/>
      <c r="AE28" s="7"/>
      <c r="AF28" s="7"/>
      <c r="AG28" s="7"/>
      <c r="AH28" s="7"/>
      <c r="AI28" s="7"/>
      <c r="AJ28" s="7"/>
      <c r="AK28" s="7"/>
      <c r="AL28" s="7"/>
      <c r="AM28" s="7"/>
      <c r="AN28" s="7"/>
      <c r="AO28" s="7"/>
      <c r="AP28" s="7"/>
      <c r="AQ28" s="3"/>
      <c r="AR28" s="3"/>
    </row>
    <row r="29" spans="1:45" s="1" customFormat="1">
      <c r="A29" s="3"/>
      <c r="B29" s="3"/>
      <c r="C29" s="3"/>
      <c r="D29" s="3"/>
      <c r="E29" s="3"/>
      <c r="F29" s="3"/>
      <c r="G29" s="3"/>
      <c r="H29" s="3"/>
      <c r="M29" s="5"/>
      <c r="N29" s="3"/>
      <c r="O29" s="3"/>
      <c r="P29" s="3"/>
      <c r="Q29" s="3"/>
      <c r="R29" s="3"/>
      <c r="S29" s="3"/>
      <c r="T29" s="3"/>
      <c r="U29" s="3"/>
      <c r="V29" s="7"/>
      <c r="W29" s="7"/>
      <c r="X29" s="7"/>
      <c r="Y29" s="7"/>
      <c r="Z29" s="7"/>
      <c r="AA29" s="7"/>
      <c r="AB29" s="7"/>
      <c r="AC29" s="7"/>
      <c r="AD29" s="7"/>
      <c r="AE29" s="7"/>
      <c r="AF29" s="7"/>
      <c r="AG29" s="7"/>
      <c r="AH29" s="7"/>
      <c r="AI29" s="7"/>
      <c r="AJ29" s="7"/>
      <c r="AK29" s="7"/>
      <c r="AL29" s="7"/>
      <c r="AM29" s="7"/>
      <c r="AN29" s="7"/>
      <c r="AO29" s="7"/>
      <c r="AP29" s="7"/>
      <c r="AQ29" s="3"/>
      <c r="AR29" s="3"/>
    </row>
    <row r="30" spans="1:45" s="1" customFormat="1" ht="15">
      <c r="A30" s="988" t="s">
        <v>602</v>
      </c>
      <c r="B30" s="988"/>
      <c r="C30" s="988"/>
      <c r="D30" s="988"/>
      <c r="E30" s="988"/>
      <c r="F30" s="988"/>
      <c r="G30" s="988"/>
      <c r="H30" s="988"/>
      <c r="I30" s="988"/>
      <c r="J30" s="988"/>
      <c r="K30" s="988"/>
      <c r="L30" s="988"/>
      <c r="M30" s="988"/>
      <c r="N30" s="988"/>
      <c r="O30" s="3"/>
      <c r="P30" s="3"/>
      <c r="Q30" s="3"/>
      <c r="R30" s="3"/>
      <c r="S30" s="3"/>
      <c r="T30" s="3"/>
      <c r="U30" s="3"/>
      <c r="V30" s="7"/>
      <c r="W30" s="7"/>
      <c r="X30" s="7"/>
      <c r="Y30" s="7"/>
      <c r="Z30" s="7"/>
      <c r="AA30" s="7"/>
      <c r="AB30" s="7"/>
      <c r="AC30" s="7"/>
      <c r="AD30" s="7"/>
      <c r="AE30" s="7"/>
      <c r="AF30" s="7"/>
      <c r="AG30" s="7"/>
      <c r="AH30" s="7"/>
      <c r="AI30" s="7"/>
      <c r="AJ30" s="7"/>
      <c r="AK30" s="7"/>
      <c r="AL30" s="7"/>
      <c r="AM30" s="7"/>
      <c r="AN30" s="7"/>
      <c r="AO30" s="7"/>
      <c r="AP30" s="7"/>
      <c r="AQ30" s="3"/>
      <c r="AR30" s="3"/>
    </row>
    <row r="31" spans="1:45" s="1" customFormat="1" ht="45">
      <c r="A31" s="267" t="s">
        <v>593</v>
      </c>
      <c r="B31" s="267" t="s">
        <v>594</v>
      </c>
      <c r="C31" s="267" t="s">
        <v>589</v>
      </c>
      <c r="D31" s="267" t="s">
        <v>595</v>
      </c>
      <c r="E31" s="267" t="s">
        <v>589</v>
      </c>
      <c r="F31" s="267" t="s">
        <v>596</v>
      </c>
      <c r="G31" s="267" t="s">
        <v>589</v>
      </c>
      <c r="H31" s="267"/>
      <c r="I31" s="268"/>
      <c r="J31" s="268"/>
      <c r="K31" s="268"/>
      <c r="L31" s="268"/>
      <c r="M31" s="267" t="s">
        <v>597</v>
      </c>
      <c r="N31" s="267" t="s">
        <v>589</v>
      </c>
      <c r="O31" s="3"/>
      <c r="P31" s="3"/>
      <c r="Q31" s="3"/>
      <c r="R31" s="3"/>
      <c r="S31" s="3"/>
      <c r="T31" s="3"/>
      <c r="U31" s="3"/>
      <c r="V31" s="7"/>
      <c r="W31" s="7" t="e">
        <f>#REF!-W34</f>
        <v>#REF!</v>
      </c>
      <c r="X31" s="7"/>
      <c r="Y31" s="7"/>
      <c r="Z31" s="7"/>
      <c r="AA31" s="7"/>
      <c r="AB31" s="7"/>
      <c r="AC31" s="7"/>
      <c r="AD31" s="7"/>
      <c r="AE31" s="7"/>
      <c r="AF31" s="7"/>
      <c r="AG31" s="7"/>
      <c r="AH31" s="7"/>
      <c r="AI31" s="7"/>
      <c r="AJ31" s="7"/>
      <c r="AK31" s="7"/>
      <c r="AL31" s="7"/>
      <c r="AM31" s="7"/>
      <c r="AN31" s="7"/>
      <c r="AO31" s="7"/>
      <c r="AP31" s="7"/>
      <c r="AQ31" s="3"/>
      <c r="AR31" s="3"/>
    </row>
    <row r="32" spans="1:45" s="1" customFormat="1">
      <c r="A32" s="263">
        <f>V11</f>
        <v>546943571</v>
      </c>
      <c r="B32" s="263">
        <f>AB11</f>
        <v>121061676</v>
      </c>
      <c r="C32" s="266">
        <f>A32*B32/100</f>
        <v>662139053826849.88</v>
      </c>
      <c r="D32" s="263">
        <f>AC11</f>
        <v>121061676</v>
      </c>
      <c r="E32" s="266">
        <f>A32*D32/100</f>
        <v>662139053826849.88</v>
      </c>
      <c r="F32" s="263">
        <f>AD11</f>
        <v>0</v>
      </c>
      <c r="G32" s="266">
        <f>C32*F32/100</f>
        <v>0</v>
      </c>
      <c r="H32" s="259"/>
      <c r="I32" s="260"/>
      <c r="J32" s="260"/>
      <c r="K32" s="260"/>
      <c r="L32" s="260"/>
      <c r="M32" s="275">
        <f>AE11</f>
        <v>0</v>
      </c>
      <c r="N32" s="266">
        <f>J32*M32/100</f>
        <v>0</v>
      </c>
      <c r="O32" s="3"/>
      <c r="P32" s="3"/>
      <c r="Q32" s="3"/>
      <c r="R32" s="3"/>
      <c r="S32" s="3"/>
      <c r="T32" s="13" t="e">
        <f>T26-#REF!</f>
        <v>#REF!</v>
      </c>
      <c r="U32" s="3"/>
      <c r="V32" s="7"/>
      <c r="W32" s="7"/>
      <c r="X32" s="7"/>
      <c r="Y32" s="7"/>
      <c r="Z32" s="7"/>
      <c r="AA32" s="7"/>
      <c r="AB32" s="7"/>
      <c r="AC32" s="7"/>
      <c r="AD32" s="7"/>
      <c r="AE32" s="7"/>
      <c r="AF32" s="7"/>
      <c r="AG32" s="7"/>
      <c r="AH32" s="7"/>
      <c r="AI32" s="7"/>
      <c r="AJ32" s="7"/>
      <c r="AK32" s="7"/>
      <c r="AL32" s="7"/>
      <c r="AM32" s="7"/>
      <c r="AN32" s="7"/>
      <c r="AO32" s="7"/>
      <c r="AP32" s="7"/>
      <c r="AQ32" s="3"/>
      <c r="AR32" s="3"/>
    </row>
    <row r="33" spans="1:44" s="1" customFormat="1">
      <c r="A33" s="259"/>
      <c r="B33" s="259"/>
      <c r="C33" s="259"/>
      <c r="D33" s="259"/>
      <c r="E33" s="259"/>
      <c r="F33" s="259"/>
      <c r="G33" s="259"/>
      <c r="H33" s="259"/>
      <c r="I33" s="260"/>
      <c r="J33" s="260"/>
      <c r="K33" s="260"/>
      <c r="L33" s="260"/>
      <c r="M33" s="261"/>
      <c r="N33" s="259"/>
      <c r="O33" s="3"/>
      <c r="P33" s="3"/>
      <c r="Q33" s="3"/>
      <c r="R33" s="3"/>
      <c r="S33" s="3"/>
      <c r="T33" s="3"/>
      <c r="U33" s="14" t="e">
        <f>W34-#REF!</f>
        <v>#REF!</v>
      </c>
      <c r="V33" s="7"/>
      <c r="W33" s="7"/>
      <c r="X33" s="7"/>
      <c r="Y33" s="7"/>
      <c r="Z33" s="7"/>
      <c r="AA33" s="7"/>
      <c r="AB33" s="7"/>
      <c r="AC33" s="7"/>
      <c r="AD33" s="7"/>
      <c r="AE33" s="7"/>
      <c r="AF33" s="7"/>
      <c r="AG33" s="7"/>
      <c r="AH33" s="7"/>
      <c r="AI33" s="7"/>
      <c r="AJ33" s="7"/>
      <c r="AK33" s="7"/>
      <c r="AL33" s="7"/>
      <c r="AM33" s="7"/>
      <c r="AN33" s="7"/>
      <c r="AO33" s="7"/>
      <c r="AP33" s="7"/>
      <c r="AQ33" s="3"/>
      <c r="AR33" s="3"/>
    </row>
    <row r="34" spans="1:44" s="1" customFormat="1" ht="23.25">
      <c r="A34" s="3"/>
      <c r="B34" s="3"/>
      <c r="C34" s="3"/>
      <c r="D34" s="3"/>
      <c r="E34" s="3"/>
      <c r="F34" s="3"/>
      <c r="G34" s="3"/>
      <c r="H34" s="3"/>
      <c r="M34" s="5"/>
      <c r="N34" s="3"/>
      <c r="O34" s="3"/>
      <c r="P34" s="3"/>
      <c r="Q34" s="3"/>
      <c r="R34" s="3"/>
      <c r="S34" s="3"/>
      <c r="T34" s="3"/>
      <c r="U34" s="3"/>
      <c r="V34" s="7"/>
      <c r="W34" s="12">
        <v>90692582257</v>
      </c>
      <c r="X34" s="245"/>
      <c r="Y34" s="245"/>
      <c r="Z34" s="245"/>
      <c r="AA34" s="245"/>
      <c r="AB34" s="245"/>
      <c r="AC34" s="245"/>
      <c r="AD34" s="245"/>
      <c r="AE34" s="245"/>
      <c r="AF34" s="245"/>
      <c r="AG34" s="245"/>
      <c r="AH34" s="245"/>
      <c r="AI34" s="245"/>
      <c r="AJ34" s="245"/>
      <c r="AK34" s="245"/>
      <c r="AL34" s="245"/>
      <c r="AM34" s="245"/>
      <c r="AN34" s="245"/>
      <c r="AO34" s="245"/>
      <c r="AP34" s="245"/>
      <c r="AQ34" s="13" t="e">
        <f>W34-#REF!</f>
        <v>#REF!</v>
      </c>
      <c r="AR34" s="3"/>
    </row>
    <row r="35" spans="1:44" s="1" customFormat="1" ht="15">
      <c r="A35" s="987" t="s">
        <v>603</v>
      </c>
      <c r="B35" s="987"/>
      <c r="C35" s="987"/>
      <c r="D35" s="987"/>
      <c r="E35" s="987"/>
      <c r="F35" s="987"/>
      <c r="G35" s="987"/>
      <c r="H35" s="987"/>
      <c r="I35" s="987"/>
      <c r="J35" s="987"/>
      <c r="K35" s="987"/>
      <c r="L35" s="987"/>
      <c r="M35" s="987"/>
      <c r="N35" s="987"/>
      <c r="O35" s="987"/>
      <c r="P35" s="3"/>
      <c r="Q35" s="3"/>
      <c r="R35" s="3"/>
      <c r="S35" s="3"/>
      <c r="T35" s="3"/>
      <c r="U35" s="3"/>
      <c r="V35" s="7"/>
      <c r="W35" s="7"/>
      <c r="X35" s="7"/>
      <c r="Y35" s="7"/>
      <c r="Z35" s="7"/>
      <c r="AA35" s="7"/>
      <c r="AB35" s="7"/>
      <c r="AC35" s="7"/>
      <c r="AD35" s="7"/>
      <c r="AE35" s="7"/>
      <c r="AF35" s="7"/>
      <c r="AG35" s="7"/>
      <c r="AH35" s="7"/>
      <c r="AI35" s="7"/>
      <c r="AJ35" s="7"/>
      <c r="AK35" s="7"/>
      <c r="AL35" s="7"/>
      <c r="AM35" s="7"/>
      <c r="AN35" s="7"/>
      <c r="AO35" s="7"/>
      <c r="AP35" s="7"/>
      <c r="AQ35" s="3"/>
      <c r="AR35" s="3"/>
    </row>
    <row r="36" spans="1:44" s="1" customFormat="1" ht="90">
      <c r="A36" s="269" t="s">
        <v>598</v>
      </c>
      <c r="B36" s="270" t="s">
        <v>587</v>
      </c>
      <c r="C36" s="270" t="s">
        <v>588</v>
      </c>
      <c r="D36" s="270" t="s">
        <v>589</v>
      </c>
      <c r="E36" s="270" t="s">
        <v>590</v>
      </c>
      <c r="F36" s="270" t="s">
        <v>589</v>
      </c>
      <c r="G36" s="270" t="s">
        <v>591</v>
      </c>
      <c r="H36" s="270" t="s">
        <v>589</v>
      </c>
      <c r="I36" s="270"/>
      <c r="J36" s="271"/>
      <c r="K36" s="271"/>
      <c r="L36" s="271"/>
      <c r="M36" s="270" t="s">
        <v>589</v>
      </c>
      <c r="N36" s="270" t="s">
        <v>592</v>
      </c>
      <c r="O36" s="270" t="s">
        <v>589</v>
      </c>
      <c r="P36" s="3"/>
      <c r="Q36" s="3"/>
      <c r="R36" s="3"/>
      <c r="S36" s="3"/>
      <c r="T36" s="13" t="e">
        <f>#REF!-T26</f>
        <v>#REF!</v>
      </c>
      <c r="U36" s="3"/>
      <c r="V36" s="7"/>
      <c r="W36" s="7"/>
      <c r="X36" s="7"/>
      <c r="Y36" s="7"/>
      <c r="Z36" s="7"/>
      <c r="AA36" s="7"/>
      <c r="AB36" s="7"/>
      <c r="AC36" s="7"/>
      <c r="AD36" s="7"/>
      <c r="AE36" s="7"/>
      <c r="AF36" s="7"/>
      <c r="AG36" s="7"/>
      <c r="AH36" s="7"/>
      <c r="AI36" s="7"/>
      <c r="AJ36" s="7"/>
      <c r="AK36" s="7"/>
      <c r="AL36" s="7"/>
      <c r="AM36" s="7"/>
      <c r="AN36" s="7"/>
      <c r="AO36" s="7"/>
      <c r="AP36" s="7"/>
      <c r="AQ36" s="3"/>
      <c r="AR36" s="3"/>
    </row>
    <row r="37" spans="1:44" s="1" customFormat="1">
      <c r="A37" s="259" t="s">
        <v>599</v>
      </c>
      <c r="B37" s="259">
        <f>N17</f>
        <v>22</v>
      </c>
      <c r="C37" s="259">
        <f>X17</f>
        <v>0</v>
      </c>
      <c r="D37" s="266">
        <f>B37*C37/100</f>
        <v>0</v>
      </c>
      <c r="E37" s="259">
        <f>Y17</f>
        <v>0</v>
      </c>
      <c r="F37" s="266">
        <f>D37*E37/100</f>
        <v>0</v>
      </c>
      <c r="G37" s="259">
        <f>Z17</f>
        <v>0</v>
      </c>
      <c r="H37" s="259"/>
      <c r="I37" s="260"/>
      <c r="J37" s="260"/>
      <c r="K37" s="260"/>
      <c r="L37" s="260"/>
      <c r="M37" s="266">
        <f>K37*L37/100</f>
        <v>0</v>
      </c>
      <c r="N37" s="259">
        <f>AA17</f>
        <v>0</v>
      </c>
      <c r="O37" s="266">
        <f>M37*N37/100</f>
        <v>0</v>
      </c>
      <c r="P37" s="3"/>
      <c r="Q37" s="3"/>
      <c r="R37" s="3"/>
      <c r="S37" s="3"/>
      <c r="T37" s="3"/>
      <c r="U37" s="3"/>
      <c r="V37" s="7"/>
      <c r="W37" s="7"/>
      <c r="X37" s="7"/>
      <c r="Y37" s="7"/>
      <c r="Z37" s="7"/>
      <c r="AA37" s="7"/>
      <c r="AB37" s="7"/>
      <c r="AC37" s="7"/>
      <c r="AD37" s="7"/>
      <c r="AE37" s="7"/>
      <c r="AF37" s="7"/>
      <c r="AG37" s="7"/>
      <c r="AH37" s="7"/>
      <c r="AI37" s="7"/>
      <c r="AJ37" s="7"/>
      <c r="AK37" s="7"/>
      <c r="AL37" s="7"/>
      <c r="AM37" s="7"/>
      <c r="AN37" s="7"/>
      <c r="AO37" s="7"/>
      <c r="AP37" s="7"/>
      <c r="AQ37" s="3"/>
      <c r="AR37" s="3"/>
    </row>
    <row r="38" spans="1:44" s="1" customFormat="1">
      <c r="A38" s="259" t="s">
        <v>18</v>
      </c>
      <c r="B38" s="259">
        <v>0</v>
      </c>
      <c r="C38" s="259">
        <v>0</v>
      </c>
      <c r="D38" s="266">
        <f>B38*C38/100</f>
        <v>0</v>
      </c>
      <c r="E38" s="259">
        <v>0</v>
      </c>
      <c r="F38" s="266">
        <f>D38*E38/100</f>
        <v>0</v>
      </c>
      <c r="G38" s="259">
        <v>0</v>
      </c>
      <c r="H38" s="259"/>
      <c r="I38" s="260"/>
      <c r="J38" s="260"/>
      <c r="K38" s="260"/>
      <c r="L38" s="260"/>
      <c r="M38" s="266">
        <f>K38*L38/100</f>
        <v>0</v>
      </c>
      <c r="N38" s="259">
        <v>0</v>
      </c>
      <c r="O38" s="266">
        <f>M38*N38/100</f>
        <v>0</v>
      </c>
      <c r="P38" s="3"/>
      <c r="Q38" s="3"/>
      <c r="R38" s="3"/>
      <c r="S38" s="3"/>
      <c r="T38" s="3"/>
      <c r="U38" s="3"/>
      <c r="V38" s="7"/>
      <c r="W38" s="7"/>
      <c r="X38" s="7"/>
      <c r="Y38" s="7"/>
      <c r="Z38" s="7"/>
      <c r="AA38" s="7"/>
      <c r="AB38" s="7"/>
      <c r="AC38" s="7"/>
      <c r="AD38" s="7"/>
      <c r="AE38" s="7"/>
      <c r="AF38" s="7"/>
      <c r="AG38" s="7"/>
      <c r="AH38" s="7"/>
      <c r="AI38" s="7"/>
      <c r="AJ38" s="7"/>
      <c r="AK38" s="7"/>
      <c r="AL38" s="7"/>
      <c r="AM38" s="7"/>
      <c r="AN38" s="7"/>
      <c r="AO38" s="7"/>
      <c r="AP38" s="7"/>
      <c r="AQ38" s="3"/>
      <c r="AR38" s="3"/>
    </row>
    <row r="39" spans="1:44" s="1" customFormat="1">
      <c r="A39" s="3"/>
      <c r="B39" s="3"/>
      <c r="C39" s="3"/>
      <c r="D39" s="3"/>
      <c r="E39" s="3"/>
      <c r="F39" s="3"/>
      <c r="G39" s="3"/>
      <c r="H39" s="3"/>
      <c r="M39" s="5"/>
      <c r="N39" s="3"/>
      <c r="O39" s="3"/>
      <c r="P39" s="3"/>
      <c r="Q39" s="3"/>
      <c r="R39" s="3"/>
      <c r="S39" s="3"/>
      <c r="T39" s="3"/>
      <c r="U39" s="3"/>
      <c r="V39" s="7"/>
      <c r="W39" s="7"/>
      <c r="X39" s="7"/>
      <c r="Y39" s="7"/>
      <c r="Z39" s="7"/>
      <c r="AA39" s="7"/>
      <c r="AB39" s="7"/>
      <c r="AC39" s="7"/>
      <c r="AD39" s="7"/>
      <c r="AE39" s="7"/>
      <c r="AF39" s="7"/>
      <c r="AG39" s="7"/>
      <c r="AH39" s="7"/>
      <c r="AI39" s="7"/>
      <c r="AJ39" s="7"/>
      <c r="AK39" s="7"/>
      <c r="AL39" s="7"/>
      <c r="AM39" s="7"/>
      <c r="AN39" s="7"/>
      <c r="AO39" s="7"/>
      <c r="AP39" s="7"/>
      <c r="AQ39" s="3"/>
      <c r="AR39" s="3"/>
    </row>
    <row r="40" spans="1:44" s="1" customFormat="1" ht="15">
      <c r="A40" s="988" t="s">
        <v>604</v>
      </c>
      <c r="B40" s="988"/>
      <c r="C40" s="988"/>
      <c r="D40" s="988"/>
      <c r="E40" s="988"/>
      <c r="F40" s="988"/>
      <c r="G40" s="988"/>
      <c r="H40" s="988"/>
      <c r="I40" s="988"/>
      <c r="J40" s="988"/>
      <c r="K40" s="988"/>
      <c r="L40" s="988"/>
      <c r="M40" s="988"/>
      <c r="N40" s="988"/>
      <c r="O40" s="3"/>
      <c r="P40" s="3"/>
      <c r="Q40" s="3"/>
      <c r="R40" s="3"/>
      <c r="S40" s="3"/>
      <c r="T40" s="3"/>
      <c r="U40" s="3"/>
      <c r="V40" s="7"/>
      <c r="W40" s="7"/>
      <c r="X40" s="7"/>
      <c r="Y40" s="7"/>
      <c r="Z40" s="7"/>
      <c r="AA40" s="7"/>
      <c r="AB40" s="7"/>
      <c r="AC40" s="7"/>
      <c r="AD40" s="7"/>
      <c r="AE40" s="7"/>
      <c r="AF40" s="7"/>
      <c r="AG40" s="7"/>
      <c r="AH40" s="7"/>
      <c r="AI40" s="7"/>
      <c r="AJ40" s="7"/>
      <c r="AK40" s="7"/>
      <c r="AL40" s="7"/>
      <c r="AM40" s="7"/>
      <c r="AN40" s="7"/>
      <c r="AO40" s="7"/>
      <c r="AP40" s="7"/>
      <c r="AQ40" s="3"/>
      <c r="AR40" s="3"/>
    </row>
    <row r="41" spans="1:44" s="1" customFormat="1" ht="45">
      <c r="A41" s="267" t="s">
        <v>593</v>
      </c>
      <c r="B41" s="267" t="s">
        <v>594</v>
      </c>
      <c r="C41" s="267" t="s">
        <v>589</v>
      </c>
      <c r="D41" s="267" t="s">
        <v>595</v>
      </c>
      <c r="E41" s="267" t="s">
        <v>589</v>
      </c>
      <c r="F41" s="267" t="s">
        <v>596</v>
      </c>
      <c r="G41" s="267" t="s">
        <v>589</v>
      </c>
      <c r="H41" s="267"/>
      <c r="I41" s="268"/>
      <c r="J41" s="268"/>
      <c r="K41" s="268"/>
      <c r="L41" s="268"/>
      <c r="M41" s="267" t="s">
        <v>597</v>
      </c>
      <c r="N41" s="267" t="s">
        <v>589</v>
      </c>
      <c r="O41" s="3"/>
      <c r="P41" s="3"/>
      <c r="Q41" s="3"/>
      <c r="R41" s="3"/>
      <c r="S41" s="3"/>
      <c r="T41" s="3"/>
      <c r="U41" s="3"/>
      <c r="V41" s="7"/>
      <c r="W41" s="7"/>
      <c r="X41" s="7"/>
      <c r="Y41" s="7"/>
      <c r="Z41" s="7"/>
      <c r="AA41" s="7"/>
      <c r="AB41" s="7"/>
      <c r="AC41" s="7"/>
      <c r="AD41" s="7"/>
      <c r="AE41" s="7"/>
      <c r="AF41" s="7"/>
      <c r="AG41" s="7"/>
      <c r="AH41" s="7"/>
      <c r="AI41" s="7"/>
      <c r="AJ41" s="7"/>
      <c r="AK41" s="7"/>
      <c r="AL41" s="7"/>
      <c r="AM41" s="7"/>
      <c r="AN41" s="7"/>
      <c r="AO41" s="7"/>
      <c r="AP41" s="7"/>
      <c r="AQ41" s="3"/>
      <c r="AR41" s="3"/>
    </row>
    <row r="42" spans="1:44" s="1" customFormat="1" ht="15">
      <c r="A42" s="272">
        <f>V17</f>
        <v>111000000</v>
      </c>
      <c r="B42" s="272">
        <f>AB17</f>
        <v>27216666</v>
      </c>
      <c r="C42" s="266">
        <f>A42*B42/100</f>
        <v>30210499260000</v>
      </c>
      <c r="D42" s="272">
        <f>AC17</f>
        <v>27216666</v>
      </c>
      <c r="E42" s="266">
        <f>C42*D42/100</f>
        <v>8.2222906805266719E+18</v>
      </c>
      <c r="F42" s="272">
        <f>AD17</f>
        <v>0</v>
      </c>
      <c r="G42" s="266">
        <f>E42*F42/100</f>
        <v>0</v>
      </c>
      <c r="H42" s="262"/>
      <c r="I42" s="273"/>
      <c r="J42" s="273"/>
      <c r="K42" s="273"/>
      <c r="L42" s="273"/>
      <c r="M42" s="276">
        <f>AE17</f>
        <v>0</v>
      </c>
      <c r="N42" s="266">
        <f>L42*M42/100</f>
        <v>0</v>
      </c>
      <c r="O42" s="3"/>
      <c r="P42" s="3"/>
      <c r="Q42" s="3"/>
      <c r="R42" s="3"/>
      <c r="S42" s="3"/>
      <c r="T42" s="3"/>
      <c r="U42" s="3"/>
      <c r="V42" s="7"/>
      <c r="W42" s="7"/>
      <c r="X42" s="7"/>
      <c r="Y42" s="7"/>
      <c r="Z42" s="7"/>
      <c r="AA42" s="7"/>
      <c r="AB42" s="7"/>
      <c r="AC42" s="7"/>
      <c r="AD42" s="7"/>
      <c r="AE42" s="7"/>
      <c r="AF42" s="7"/>
      <c r="AG42" s="7"/>
      <c r="AH42" s="7"/>
      <c r="AI42" s="7"/>
      <c r="AJ42" s="7"/>
      <c r="AK42" s="7"/>
      <c r="AL42" s="7"/>
      <c r="AM42" s="7"/>
      <c r="AN42" s="7"/>
      <c r="AO42" s="7"/>
      <c r="AP42" s="7"/>
      <c r="AQ42" s="3"/>
      <c r="AR42" s="3"/>
    </row>
    <row r="43" spans="1:44" s="1" customFormat="1">
      <c r="A43" s="259"/>
      <c r="B43" s="259"/>
      <c r="C43" s="259"/>
      <c r="D43" s="259"/>
      <c r="E43" s="259"/>
      <c r="F43" s="259"/>
      <c r="G43" s="259"/>
      <c r="H43" s="259"/>
      <c r="I43" s="260"/>
      <c r="J43" s="260"/>
      <c r="K43" s="260"/>
      <c r="L43" s="260"/>
      <c r="M43" s="261"/>
      <c r="N43" s="259"/>
      <c r="O43" s="3"/>
      <c r="P43" s="3"/>
      <c r="Q43" s="3"/>
      <c r="R43" s="3"/>
      <c r="S43" s="3"/>
      <c r="T43" s="3"/>
      <c r="U43" s="3"/>
      <c r="V43" s="7"/>
      <c r="W43" s="7"/>
      <c r="X43" s="7"/>
      <c r="Y43" s="7"/>
      <c r="Z43" s="7"/>
      <c r="AA43" s="7"/>
      <c r="AB43" s="7"/>
      <c r="AC43" s="7"/>
      <c r="AD43" s="7"/>
      <c r="AE43" s="7"/>
      <c r="AF43" s="7"/>
      <c r="AG43" s="7"/>
      <c r="AH43" s="7"/>
      <c r="AI43" s="7"/>
      <c r="AJ43" s="7"/>
      <c r="AK43" s="7"/>
      <c r="AL43" s="7"/>
      <c r="AM43" s="7"/>
      <c r="AN43" s="7"/>
      <c r="AO43" s="7"/>
      <c r="AP43" s="7"/>
      <c r="AQ43" s="3"/>
      <c r="AR43" s="3"/>
    </row>
    <row r="44" spans="1:44" s="1" customFormat="1">
      <c r="A44" s="3"/>
      <c r="B44" s="3"/>
      <c r="C44" s="3"/>
      <c r="D44" s="3"/>
      <c r="E44" s="3"/>
      <c r="F44" s="3"/>
      <c r="G44" s="3"/>
      <c r="H44" s="3"/>
      <c r="M44" s="5"/>
      <c r="N44" s="3"/>
      <c r="O44" s="3"/>
      <c r="P44" s="3"/>
      <c r="Q44" s="3"/>
      <c r="R44" s="3"/>
      <c r="S44" s="3"/>
      <c r="T44" s="3"/>
      <c r="U44" s="3"/>
      <c r="V44" s="7"/>
      <c r="W44" s="7"/>
      <c r="X44" s="7"/>
      <c r="Y44" s="7"/>
      <c r="Z44" s="7"/>
      <c r="AA44" s="7"/>
      <c r="AB44" s="7"/>
      <c r="AC44" s="7"/>
      <c r="AD44" s="7"/>
      <c r="AE44" s="7"/>
      <c r="AF44" s="7"/>
      <c r="AG44" s="7"/>
      <c r="AH44" s="7"/>
      <c r="AI44" s="7"/>
      <c r="AJ44" s="7"/>
      <c r="AK44" s="7"/>
      <c r="AL44" s="7"/>
      <c r="AM44" s="7"/>
      <c r="AN44" s="7"/>
      <c r="AO44" s="7"/>
      <c r="AP44" s="7"/>
      <c r="AQ44" s="3"/>
      <c r="AR44" s="3"/>
    </row>
    <row r="45" spans="1:44" s="1" customFormat="1" ht="15">
      <c r="A45" s="987" t="s">
        <v>605</v>
      </c>
      <c r="B45" s="987"/>
      <c r="C45" s="987"/>
      <c r="D45" s="987"/>
      <c r="E45" s="987"/>
      <c r="F45" s="987"/>
      <c r="G45" s="987"/>
      <c r="H45" s="987"/>
      <c r="I45" s="987"/>
      <c r="J45" s="987"/>
      <c r="K45" s="987"/>
      <c r="L45" s="987"/>
      <c r="M45" s="987"/>
      <c r="N45" s="987"/>
      <c r="O45" s="987"/>
      <c r="P45" s="3"/>
      <c r="Q45" s="3"/>
      <c r="R45" s="3"/>
      <c r="S45" s="3"/>
      <c r="T45" s="3"/>
      <c r="U45" s="3"/>
      <c r="V45" s="7"/>
      <c r="W45" s="7"/>
      <c r="X45" s="7"/>
      <c r="Y45" s="7"/>
      <c r="Z45" s="7"/>
      <c r="AA45" s="7"/>
      <c r="AB45" s="7"/>
      <c r="AC45" s="7"/>
      <c r="AD45" s="7"/>
      <c r="AE45" s="7"/>
      <c r="AF45" s="7"/>
      <c r="AG45" s="7"/>
      <c r="AH45" s="7"/>
      <c r="AI45" s="7"/>
      <c r="AJ45" s="7"/>
      <c r="AK45" s="7"/>
      <c r="AL45" s="7"/>
      <c r="AM45" s="7"/>
      <c r="AN45" s="7"/>
      <c r="AO45" s="7"/>
      <c r="AP45" s="7"/>
      <c r="AQ45" s="3"/>
      <c r="AR45" s="3"/>
    </row>
    <row r="46" spans="1:44" s="1" customFormat="1" ht="90">
      <c r="A46" s="269" t="s">
        <v>598</v>
      </c>
      <c r="B46" s="270" t="s">
        <v>587</v>
      </c>
      <c r="C46" s="270" t="s">
        <v>588</v>
      </c>
      <c r="D46" s="270" t="s">
        <v>589</v>
      </c>
      <c r="E46" s="270" t="s">
        <v>590</v>
      </c>
      <c r="F46" s="270" t="s">
        <v>589</v>
      </c>
      <c r="G46" s="270" t="s">
        <v>591</v>
      </c>
      <c r="H46" s="270" t="s">
        <v>589</v>
      </c>
      <c r="I46" s="270"/>
      <c r="J46" s="271"/>
      <c r="K46" s="271"/>
      <c r="L46" s="271"/>
      <c r="M46" s="270" t="s">
        <v>589</v>
      </c>
      <c r="N46" s="270" t="s">
        <v>592</v>
      </c>
      <c r="O46" s="270" t="s">
        <v>589</v>
      </c>
      <c r="P46" s="3"/>
      <c r="Q46" s="3"/>
      <c r="R46" s="3"/>
      <c r="S46" s="3"/>
      <c r="T46" s="3"/>
      <c r="U46" s="3"/>
      <c r="V46" s="7"/>
      <c r="W46" s="7"/>
      <c r="X46" s="7"/>
      <c r="Y46" s="7"/>
      <c r="Z46" s="7"/>
      <c r="AA46" s="7"/>
      <c r="AB46" s="7"/>
      <c r="AC46" s="7"/>
      <c r="AD46" s="7"/>
      <c r="AE46" s="7"/>
      <c r="AF46" s="7"/>
      <c r="AG46" s="7"/>
      <c r="AH46" s="7"/>
      <c r="AI46" s="7"/>
      <c r="AJ46" s="7"/>
      <c r="AK46" s="7"/>
      <c r="AL46" s="7"/>
      <c r="AM46" s="7"/>
      <c r="AN46" s="7"/>
      <c r="AO46" s="7"/>
      <c r="AP46" s="7"/>
      <c r="AQ46" s="3"/>
      <c r="AR46" s="3"/>
    </row>
    <row r="47" spans="1:44" s="1" customFormat="1">
      <c r="A47" s="259" t="s">
        <v>599</v>
      </c>
      <c r="B47" s="259">
        <f>N22</f>
        <v>18</v>
      </c>
      <c r="C47" s="259">
        <f>X22</f>
        <v>0</v>
      </c>
      <c r="D47" s="266">
        <f>B47*C47/100</f>
        <v>0</v>
      </c>
      <c r="E47" s="259">
        <f>Y22</f>
        <v>0</v>
      </c>
      <c r="F47" s="266">
        <f>D47*E47/100</f>
        <v>0</v>
      </c>
      <c r="G47" s="259">
        <f>Z22</f>
        <v>0</v>
      </c>
      <c r="H47" s="259"/>
      <c r="I47" s="260"/>
      <c r="J47" s="260"/>
      <c r="K47" s="260"/>
      <c r="L47" s="260"/>
      <c r="M47" s="266">
        <f>K47*L47/100</f>
        <v>0</v>
      </c>
      <c r="N47" s="259">
        <f>AA22</f>
        <v>0</v>
      </c>
      <c r="O47" s="266">
        <f>M47*N47/100</f>
        <v>0</v>
      </c>
      <c r="P47" s="3"/>
      <c r="Q47" s="3"/>
      <c r="R47" s="3"/>
      <c r="S47" s="3"/>
      <c r="T47" s="3"/>
      <c r="U47" s="3"/>
      <c r="V47" s="7"/>
      <c r="W47" s="7"/>
      <c r="X47" s="7"/>
      <c r="Y47" s="7"/>
      <c r="Z47" s="7"/>
      <c r="AA47" s="7"/>
      <c r="AB47" s="7"/>
      <c r="AC47" s="7"/>
      <c r="AD47" s="7"/>
      <c r="AE47" s="7"/>
      <c r="AF47" s="7"/>
      <c r="AG47" s="7"/>
      <c r="AH47" s="7"/>
      <c r="AI47" s="7"/>
      <c r="AJ47" s="7"/>
      <c r="AK47" s="7"/>
      <c r="AL47" s="7"/>
      <c r="AM47" s="7"/>
      <c r="AN47" s="7"/>
      <c r="AO47" s="7"/>
      <c r="AP47" s="7"/>
      <c r="AQ47" s="3"/>
      <c r="AR47" s="3"/>
    </row>
    <row r="48" spans="1:44" s="1" customFormat="1">
      <c r="A48" s="259" t="s">
        <v>18</v>
      </c>
      <c r="B48" s="259">
        <f>N23</f>
        <v>100</v>
      </c>
      <c r="C48" s="264">
        <f>X23</f>
        <v>0</v>
      </c>
      <c r="D48" s="266">
        <f>B48*C48/100</f>
        <v>0</v>
      </c>
      <c r="E48" s="259">
        <f>Y23</f>
        <v>0</v>
      </c>
      <c r="F48" s="266">
        <f>D48*E48/100</f>
        <v>0</v>
      </c>
      <c r="G48" s="259">
        <f>Z23</f>
        <v>0</v>
      </c>
      <c r="H48" s="259"/>
      <c r="I48" s="260"/>
      <c r="J48" s="260"/>
      <c r="K48" s="260"/>
      <c r="L48" s="260"/>
      <c r="M48" s="266">
        <f>K48*L48/100</f>
        <v>0</v>
      </c>
      <c r="N48" s="259">
        <f>AA23</f>
        <v>0</v>
      </c>
      <c r="O48" s="266">
        <f>M48*N48/100</f>
        <v>0</v>
      </c>
      <c r="P48" s="3"/>
      <c r="Q48" s="3"/>
      <c r="R48" s="3"/>
      <c r="S48" s="3"/>
      <c r="T48" s="3"/>
      <c r="U48" s="3"/>
      <c r="V48" s="7"/>
      <c r="W48" s="7"/>
      <c r="X48" s="7"/>
      <c r="Y48" s="7"/>
      <c r="Z48" s="7"/>
      <c r="AA48" s="7"/>
      <c r="AB48" s="7"/>
      <c r="AC48" s="7"/>
      <c r="AD48" s="7"/>
      <c r="AE48" s="7"/>
      <c r="AF48" s="7"/>
      <c r="AG48" s="7"/>
      <c r="AH48" s="7"/>
      <c r="AI48" s="7"/>
      <c r="AJ48" s="7"/>
      <c r="AK48" s="7"/>
      <c r="AL48" s="7"/>
      <c r="AM48" s="7"/>
      <c r="AN48" s="7"/>
      <c r="AO48" s="7"/>
      <c r="AP48" s="7"/>
      <c r="AQ48" s="3"/>
      <c r="AR48" s="3"/>
    </row>
    <row r="49" spans="1:44" s="1" customFormat="1">
      <c r="A49" s="3"/>
      <c r="B49" s="3"/>
      <c r="C49" s="3"/>
      <c r="D49" s="3"/>
      <c r="E49" s="3"/>
      <c r="F49" s="3"/>
      <c r="G49" s="3"/>
      <c r="H49" s="3"/>
      <c r="M49" s="5"/>
      <c r="N49" s="3"/>
      <c r="O49" s="3"/>
      <c r="P49" s="3"/>
      <c r="Q49" s="3"/>
      <c r="R49" s="3"/>
      <c r="S49" s="3"/>
      <c r="T49" s="3"/>
      <c r="U49" s="3"/>
      <c r="V49" s="7"/>
      <c r="W49" s="7"/>
      <c r="X49" s="7"/>
      <c r="Y49" s="7"/>
      <c r="Z49" s="7"/>
      <c r="AA49" s="7"/>
      <c r="AB49" s="7"/>
      <c r="AC49" s="7"/>
      <c r="AD49" s="7"/>
      <c r="AE49" s="7"/>
      <c r="AF49" s="7"/>
      <c r="AG49" s="7"/>
      <c r="AH49" s="7"/>
      <c r="AI49" s="7"/>
      <c r="AJ49" s="7"/>
      <c r="AK49" s="7"/>
      <c r="AL49" s="7"/>
      <c r="AM49" s="7"/>
      <c r="AN49" s="7"/>
      <c r="AO49" s="7"/>
      <c r="AP49" s="7"/>
      <c r="AQ49" s="3"/>
      <c r="AR49" s="3"/>
    </row>
    <row r="50" spans="1:44" s="1" customFormat="1" ht="15">
      <c r="A50" s="988" t="s">
        <v>606</v>
      </c>
      <c r="B50" s="988"/>
      <c r="C50" s="988"/>
      <c r="D50" s="988"/>
      <c r="E50" s="988"/>
      <c r="F50" s="988"/>
      <c r="G50" s="988"/>
      <c r="H50" s="988"/>
      <c r="I50" s="988"/>
      <c r="J50" s="988"/>
      <c r="K50" s="988"/>
      <c r="L50" s="988"/>
      <c r="M50" s="988"/>
      <c r="N50" s="988"/>
      <c r="O50" s="3"/>
      <c r="P50" s="3"/>
      <c r="Q50" s="3"/>
      <c r="R50" s="3"/>
      <c r="S50" s="3"/>
      <c r="T50" s="3"/>
      <c r="U50" s="3"/>
      <c r="V50" s="7"/>
      <c r="W50" s="7"/>
      <c r="X50" s="7"/>
      <c r="Y50" s="7"/>
      <c r="Z50" s="7"/>
      <c r="AA50" s="7"/>
      <c r="AB50" s="7"/>
      <c r="AC50" s="7"/>
      <c r="AD50" s="7"/>
      <c r="AE50" s="7"/>
      <c r="AF50" s="7"/>
      <c r="AG50" s="7"/>
      <c r="AH50" s="7"/>
      <c r="AI50" s="7"/>
      <c r="AJ50" s="7"/>
      <c r="AK50" s="7"/>
      <c r="AL50" s="7"/>
      <c r="AM50" s="7"/>
      <c r="AN50" s="7"/>
      <c r="AO50" s="7"/>
      <c r="AP50" s="7"/>
      <c r="AQ50" s="3"/>
      <c r="AR50" s="3"/>
    </row>
    <row r="51" spans="1:44" s="1" customFormat="1" ht="45">
      <c r="A51" s="267" t="s">
        <v>593</v>
      </c>
      <c r="B51" s="267" t="s">
        <v>594</v>
      </c>
      <c r="C51" s="267" t="s">
        <v>589</v>
      </c>
      <c r="D51" s="267" t="s">
        <v>595</v>
      </c>
      <c r="E51" s="267" t="s">
        <v>589</v>
      </c>
      <c r="F51" s="267" t="s">
        <v>596</v>
      </c>
      <c r="G51" s="267" t="s">
        <v>589</v>
      </c>
      <c r="H51" s="267"/>
      <c r="I51" s="268"/>
      <c r="J51" s="268"/>
      <c r="K51" s="268"/>
      <c r="L51" s="268"/>
      <c r="M51" s="267" t="s">
        <v>597</v>
      </c>
      <c r="N51" s="267" t="s">
        <v>589</v>
      </c>
      <c r="O51" s="3"/>
      <c r="P51" s="3"/>
      <c r="Q51" s="3"/>
      <c r="R51" s="3"/>
      <c r="S51" s="3"/>
      <c r="T51" s="3"/>
      <c r="U51" s="3"/>
      <c r="V51" s="7"/>
      <c r="W51" s="7"/>
      <c r="X51" s="7"/>
      <c r="Y51" s="7"/>
      <c r="Z51" s="7"/>
      <c r="AA51" s="7"/>
      <c r="AB51" s="7"/>
      <c r="AC51" s="7"/>
      <c r="AD51" s="7"/>
      <c r="AE51" s="7"/>
      <c r="AF51" s="7"/>
      <c r="AG51" s="7"/>
      <c r="AH51" s="7"/>
      <c r="AI51" s="7"/>
      <c r="AJ51" s="7"/>
      <c r="AK51" s="7"/>
      <c r="AL51" s="7"/>
      <c r="AM51" s="7"/>
      <c r="AN51" s="7"/>
      <c r="AO51" s="7"/>
      <c r="AP51" s="7"/>
      <c r="AQ51" s="3"/>
      <c r="AR51" s="3"/>
    </row>
    <row r="52" spans="1:44">
      <c r="A52" s="263">
        <f>V22</f>
        <v>111000000</v>
      </c>
      <c r="B52" s="263">
        <f>AB22</f>
        <v>25561666</v>
      </c>
      <c r="C52" s="266">
        <f>A52*B52/100</f>
        <v>28373449260000</v>
      </c>
      <c r="D52" s="263">
        <f>AC22</f>
        <v>25561666</v>
      </c>
      <c r="E52" s="266">
        <f>C52*D52/100</f>
        <v>7.2527263325206712E+18</v>
      </c>
      <c r="F52" s="263">
        <f>AD22</f>
        <v>0</v>
      </c>
      <c r="G52" s="266">
        <f>E52*F52/100</f>
        <v>0</v>
      </c>
      <c r="H52" s="259"/>
      <c r="I52" s="260"/>
      <c r="J52" s="260"/>
      <c r="K52" s="260"/>
      <c r="L52" s="260"/>
      <c r="M52" s="275">
        <f>AE22</f>
        <v>0</v>
      </c>
      <c r="N52" s="266">
        <f>L52*M52/100</f>
        <v>0</v>
      </c>
    </row>
    <row r="53" spans="1:44">
      <c r="A53" s="259"/>
      <c r="B53" s="259"/>
      <c r="C53" s="259"/>
      <c r="D53" s="259"/>
      <c r="E53" s="259"/>
      <c r="F53" s="259"/>
      <c r="G53" s="259"/>
      <c r="H53" s="259"/>
      <c r="I53" s="260"/>
      <c r="J53" s="260"/>
      <c r="K53" s="260"/>
      <c r="L53" s="260"/>
      <c r="M53" s="261"/>
      <c r="N53" s="259"/>
    </row>
    <row r="57" spans="1:44" ht="15">
      <c r="A57" s="987" t="s">
        <v>600</v>
      </c>
      <c r="B57" s="987"/>
      <c r="C57" s="987"/>
      <c r="D57" s="987"/>
      <c r="E57" s="987"/>
      <c r="F57" s="987"/>
      <c r="G57" s="987"/>
      <c r="H57" s="987"/>
      <c r="I57" s="987"/>
      <c r="J57" s="987"/>
      <c r="K57" s="987"/>
      <c r="L57" s="987"/>
      <c r="M57" s="987"/>
      <c r="N57" s="987"/>
      <c r="O57" s="987"/>
    </row>
    <row r="58" spans="1:44" ht="90">
      <c r="A58" s="269" t="s">
        <v>598</v>
      </c>
      <c r="B58" s="270" t="s">
        <v>587</v>
      </c>
      <c r="C58" s="270" t="s">
        <v>588</v>
      </c>
      <c r="D58" s="270" t="s">
        <v>589</v>
      </c>
      <c r="E58" s="270" t="s">
        <v>590</v>
      </c>
      <c r="F58" s="270" t="s">
        <v>589</v>
      </c>
      <c r="G58" s="270" t="s">
        <v>591</v>
      </c>
      <c r="H58" s="270" t="s">
        <v>589</v>
      </c>
      <c r="I58" s="270"/>
      <c r="J58" s="271"/>
      <c r="K58" s="271"/>
      <c r="L58" s="271"/>
      <c r="M58" s="270" t="s">
        <v>589</v>
      </c>
      <c r="N58" s="270" t="s">
        <v>592</v>
      </c>
      <c r="O58" s="270" t="s">
        <v>589</v>
      </c>
    </row>
    <row r="59" spans="1:44">
      <c r="A59" s="259" t="s">
        <v>599</v>
      </c>
      <c r="B59" s="259">
        <f>B47+B37+B27</f>
        <v>51</v>
      </c>
      <c r="C59" s="259">
        <f>C47+C37+C27</f>
        <v>0</v>
      </c>
      <c r="D59" s="266">
        <f>B59*C59/100</f>
        <v>0</v>
      </c>
      <c r="E59" s="259">
        <f>E47+E37+E27</f>
        <v>0</v>
      </c>
      <c r="F59" s="266">
        <f>D59*E59/100</f>
        <v>0</v>
      </c>
      <c r="G59" s="259">
        <f>G47+G37+G27</f>
        <v>0</v>
      </c>
      <c r="H59" s="259"/>
      <c r="I59" s="260"/>
      <c r="J59" s="260"/>
      <c r="K59" s="260"/>
      <c r="L59" s="260"/>
      <c r="M59" s="266">
        <f>K59*L59/100</f>
        <v>0</v>
      </c>
      <c r="N59" s="259">
        <f>N47+N37+N27</f>
        <v>0</v>
      </c>
      <c r="O59" s="266">
        <f>M59*N59/100</f>
        <v>0</v>
      </c>
    </row>
    <row r="60" spans="1:44">
      <c r="A60" s="259" t="s">
        <v>18</v>
      </c>
      <c r="B60" s="266">
        <v>1</v>
      </c>
      <c r="C60" s="264">
        <f>C48</f>
        <v>0</v>
      </c>
      <c r="D60" s="266">
        <f>B60*C60/100</f>
        <v>0</v>
      </c>
      <c r="E60" s="259">
        <f>E48</f>
        <v>0</v>
      </c>
      <c r="F60" s="266">
        <f>D60*E60/100</f>
        <v>0</v>
      </c>
      <c r="G60" s="259">
        <f>G48</f>
        <v>0</v>
      </c>
      <c r="H60" s="259"/>
      <c r="I60" s="260"/>
      <c r="J60" s="260"/>
      <c r="K60" s="260"/>
      <c r="L60" s="260"/>
      <c r="M60" s="266">
        <f>K60*L60/100</f>
        <v>0</v>
      </c>
      <c r="N60" s="259">
        <f>N48</f>
        <v>0</v>
      </c>
      <c r="O60" s="266">
        <f>M60*N60/100</f>
        <v>0</v>
      </c>
    </row>
    <row r="61" spans="1:44">
      <c r="I61" s="1"/>
      <c r="J61" s="1"/>
      <c r="K61" s="1"/>
      <c r="L61" s="1"/>
    </row>
    <row r="62" spans="1:44" ht="15">
      <c r="A62" s="988" t="s">
        <v>606</v>
      </c>
      <c r="B62" s="988"/>
      <c r="C62" s="988"/>
      <c r="D62" s="988"/>
      <c r="E62" s="988"/>
      <c r="F62" s="988"/>
      <c r="G62" s="988"/>
      <c r="H62" s="988"/>
      <c r="I62" s="988"/>
      <c r="J62" s="988"/>
      <c r="K62" s="988"/>
      <c r="L62" s="988"/>
      <c r="M62" s="988"/>
      <c r="N62" s="988"/>
    </row>
    <row r="63" spans="1:44" ht="45">
      <c r="A63" s="267" t="s">
        <v>593</v>
      </c>
      <c r="B63" s="267" t="s">
        <v>594</v>
      </c>
      <c r="C63" s="267" t="s">
        <v>589</v>
      </c>
      <c r="D63" s="267" t="s">
        <v>595</v>
      </c>
      <c r="E63" s="267" t="s">
        <v>589</v>
      </c>
      <c r="F63" s="267" t="s">
        <v>596</v>
      </c>
      <c r="G63" s="267" t="s">
        <v>589</v>
      </c>
      <c r="H63" s="267"/>
      <c r="I63" s="268"/>
      <c r="J63" s="268"/>
      <c r="K63" s="268"/>
      <c r="L63" s="268"/>
      <c r="M63" s="267" t="s">
        <v>597</v>
      </c>
      <c r="N63" s="267" t="s">
        <v>589</v>
      </c>
    </row>
    <row r="64" spans="1:44">
      <c r="A64" s="263">
        <f>A52+A42+A32</f>
        <v>768943571</v>
      </c>
      <c r="B64" s="263">
        <f>B52+B42+B32</f>
        <v>173840008</v>
      </c>
      <c r="C64" s="266">
        <f>A64*B64/100</f>
        <v>1336731565341885.8</v>
      </c>
      <c r="D64" s="263">
        <f>D52+D42+D32</f>
        <v>173840008</v>
      </c>
      <c r="E64" s="266">
        <f>C64*D64/100</f>
        <v>2.3237742601288596E+21</v>
      </c>
      <c r="F64" s="263">
        <f>F52+F42+F3</f>
        <v>0</v>
      </c>
      <c r="G64" s="266">
        <f>E64*F64/100</f>
        <v>0</v>
      </c>
      <c r="H64" s="259"/>
      <c r="I64" s="260"/>
      <c r="J64" s="260"/>
      <c r="K64" s="260"/>
      <c r="L64" s="260"/>
      <c r="M64" s="275">
        <f>M52+M42+M32</f>
        <v>0</v>
      </c>
      <c r="N64" s="266">
        <f>L64*M64/100</f>
        <v>0</v>
      </c>
    </row>
    <row r="65" spans="1:14">
      <c r="A65" s="259"/>
      <c r="B65" s="259"/>
      <c r="C65" s="259"/>
      <c r="D65" s="259"/>
      <c r="E65" s="259"/>
      <c r="F65" s="259"/>
      <c r="G65" s="259"/>
      <c r="H65" s="259"/>
      <c r="I65" s="260"/>
      <c r="J65" s="260"/>
      <c r="K65" s="260"/>
      <c r="L65" s="260"/>
      <c r="M65" s="261"/>
      <c r="N65" s="259"/>
    </row>
  </sheetData>
  <mergeCells count="88">
    <mergeCell ref="P5:P6"/>
    <mergeCell ref="A1:AR1"/>
    <mergeCell ref="AT1:AX1"/>
    <mergeCell ref="A2:AR2"/>
    <mergeCell ref="A4:AR4"/>
    <mergeCell ref="K5:K6"/>
    <mergeCell ref="L5:L6"/>
    <mergeCell ref="M5:M6"/>
    <mergeCell ref="N5:N6"/>
    <mergeCell ref="O5:O6"/>
    <mergeCell ref="X5:AP5"/>
    <mergeCell ref="B3:AR3"/>
    <mergeCell ref="AS7:AS10"/>
    <mergeCell ref="AR5:AR6"/>
    <mergeCell ref="A7:A10"/>
    <mergeCell ref="B7:B10"/>
    <mergeCell ref="C7:C8"/>
    <mergeCell ref="D7:D8"/>
    <mergeCell ref="E7:E8"/>
    <mergeCell ref="F7:F10"/>
    <mergeCell ref="Q5:Q6"/>
    <mergeCell ref="R5:R6"/>
    <mergeCell ref="S5:S6"/>
    <mergeCell ref="T5:W5"/>
    <mergeCell ref="AQ5:AQ6"/>
    <mergeCell ref="A5:B5"/>
    <mergeCell ref="C5:E5"/>
    <mergeCell ref="G5:J5"/>
    <mergeCell ref="K7:K10"/>
    <mergeCell ref="L7:L10"/>
    <mergeCell ref="U7:U8"/>
    <mergeCell ref="V7:V8"/>
    <mergeCell ref="W7:W8"/>
    <mergeCell ref="AS12:AS16"/>
    <mergeCell ref="A18:A20"/>
    <mergeCell ref="B18:B21"/>
    <mergeCell ref="D18:D20"/>
    <mergeCell ref="E18:E20"/>
    <mergeCell ref="F18:F20"/>
    <mergeCell ref="G18:G19"/>
    <mergeCell ref="H18:H19"/>
    <mergeCell ref="I18:I19"/>
    <mergeCell ref="F12:F16"/>
    <mergeCell ref="K12:K16"/>
    <mergeCell ref="L12:L16"/>
    <mergeCell ref="U12:U16"/>
    <mergeCell ref="V12:V16"/>
    <mergeCell ref="W12:W16"/>
    <mergeCell ref="A12:A16"/>
    <mergeCell ref="AS18:AS20"/>
    <mergeCell ref="AQ20:AQ21"/>
    <mergeCell ref="AR20:AR21"/>
    <mergeCell ref="J18:J19"/>
    <mergeCell ref="K18:K19"/>
    <mergeCell ref="L18:L19"/>
    <mergeCell ref="T18:T19"/>
    <mergeCell ref="U18:U19"/>
    <mergeCell ref="V18:V21"/>
    <mergeCell ref="W18:W21"/>
    <mergeCell ref="AQ18:AQ19"/>
    <mergeCell ref="AR18:AR19"/>
    <mergeCell ref="A25:O25"/>
    <mergeCell ref="A30:N30"/>
    <mergeCell ref="A35:O35"/>
    <mergeCell ref="V22:V23"/>
    <mergeCell ref="W22:W23"/>
    <mergeCell ref="G8:G9"/>
    <mergeCell ref="H8:H9"/>
    <mergeCell ref="I8:I9"/>
    <mergeCell ref="J8:J9"/>
    <mergeCell ref="B12:B16"/>
    <mergeCell ref="C12:C16"/>
    <mergeCell ref="AG22:AG23"/>
    <mergeCell ref="A57:O57"/>
    <mergeCell ref="A62:N62"/>
    <mergeCell ref="A11:M11"/>
    <mergeCell ref="A17:M17"/>
    <mergeCell ref="A22:M23"/>
    <mergeCell ref="A45:O45"/>
    <mergeCell ref="A50:N50"/>
    <mergeCell ref="A40:N40"/>
    <mergeCell ref="D12:D16"/>
    <mergeCell ref="E12:E16"/>
    <mergeCell ref="AB22:AB23"/>
    <mergeCell ref="AC22:AC23"/>
    <mergeCell ref="AD22:AD23"/>
    <mergeCell ref="AE22:AE23"/>
    <mergeCell ref="AF22:AF2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6EB24-02E6-48B2-8F8B-E1AD72FAC8F9}">
  <dimension ref="A1:AX91"/>
  <sheetViews>
    <sheetView topLeftCell="S1" zoomScale="70" zoomScaleNormal="70" workbookViewId="0">
      <selection activeCell="W47" sqref="W47"/>
    </sheetView>
  </sheetViews>
  <sheetFormatPr baseColWidth="10" defaultColWidth="11.42578125" defaultRowHeight="14.25"/>
  <cols>
    <col min="1" max="1" width="29.28515625" style="3" customWidth="1"/>
    <col min="2" max="2" width="26.85546875" style="3" customWidth="1"/>
    <col min="3" max="3" width="32.140625" style="3" customWidth="1"/>
    <col min="4" max="4" width="30.42578125" style="3" customWidth="1"/>
    <col min="5" max="5" width="18.42578125" style="3" customWidth="1"/>
    <col min="6" max="6" width="20.28515625" style="3" customWidth="1"/>
    <col min="7" max="7" width="37.42578125" style="3" customWidth="1"/>
    <col min="8" max="8" width="15" style="3" hidden="1" customWidth="1"/>
    <col min="9" max="10" width="12.7109375" style="2" hidden="1" customWidth="1"/>
    <col min="11" max="11" width="38.42578125" style="2" hidden="1" customWidth="1"/>
    <col min="12" max="12" width="57.42578125" style="2" hidden="1" customWidth="1"/>
    <col min="13" max="13" width="38.140625" style="5" customWidth="1"/>
    <col min="14" max="15" width="15" style="3" customWidth="1"/>
    <col min="16" max="16" width="16.28515625" style="3" customWidth="1"/>
    <col min="17" max="17" width="16.7109375" style="3" customWidth="1"/>
    <col min="18" max="18" width="16.85546875" style="3" customWidth="1"/>
    <col min="19" max="19" width="18" style="3" customWidth="1"/>
    <col min="20" max="20" width="20.140625" style="3" customWidth="1"/>
    <col min="21" max="21" width="21.42578125" style="3" customWidth="1"/>
    <col min="22" max="23" width="27.7109375" style="7" customWidth="1"/>
    <col min="24" max="24" width="25.42578125" style="7" bestFit="1" customWidth="1"/>
    <col min="25" max="28" width="25.42578125" style="7" hidden="1" customWidth="1"/>
    <col min="29" max="34" width="25.42578125" style="7" customWidth="1"/>
    <col min="35" max="37" width="34.28515625" style="7" customWidth="1"/>
    <col min="38" max="42" width="43.85546875" style="7" customWidth="1"/>
    <col min="43" max="43" width="20" style="3" customWidth="1"/>
    <col min="44" max="44" width="20.140625" style="3" customWidth="1"/>
    <col min="45" max="45" width="30.28515625" style="2" hidden="1" customWidth="1"/>
    <col min="46" max="47" width="17.42578125" style="2" customWidth="1"/>
    <col min="48" max="48" width="21.140625" style="2" customWidth="1"/>
    <col min="49" max="49" width="16.7109375" style="2" customWidth="1"/>
    <col min="50" max="50" width="20.140625" style="2" customWidth="1"/>
    <col min="51" max="16384" width="11.42578125" style="2"/>
  </cols>
  <sheetData>
    <row r="1" spans="1:50" s="1" customFormat="1" ht="30.75" customHeight="1" thickTop="1" thickBot="1">
      <c r="A1" s="846" t="s">
        <v>585</v>
      </c>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22"/>
      <c r="AT1" s="823" t="s">
        <v>34</v>
      </c>
      <c r="AU1" s="823"/>
      <c r="AV1" s="823"/>
      <c r="AW1" s="823"/>
      <c r="AX1" s="824"/>
    </row>
    <row r="2" spans="1:50" s="1" customFormat="1" ht="45" customHeight="1" thickTop="1" thickBot="1">
      <c r="A2" s="856" t="s">
        <v>586</v>
      </c>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856"/>
      <c r="AQ2" s="856"/>
      <c r="AR2" s="856"/>
      <c r="AS2" s="22"/>
      <c r="AT2" s="253" t="s">
        <v>35</v>
      </c>
      <c r="AU2" s="20" t="s">
        <v>36</v>
      </c>
      <c r="AV2" s="16" t="s">
        <v>37</v>
      </c>
      <c r="AW2" s="16" t="s">
        <v>38</v>
      </c>
      <c r="AX2" s="16" t="s">
        <v>29</v>
      </c>
    </row>
    <row r="3" spans="1:50" s="1" customFormat="1" ht="25.5" customHeight="1" thickTop="1" thickBot="1">
      <c r="A3" s="782" t="s">
        <v>74</v>
      </c>
      <c r="B3" s="782"/>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2"/>
      <c r="AJ3" s="782"/>
      <c r="AK3" s="782"/>
      <c r="AL3" s="782"/>
      <c r="AM3" s="782"/>
      <c r="AN3" s="782"/>
      <c r="AO3" s="782"/>
      <c r="AP3" s="782"/>
      <c r="AQ3" s="782"/>
      <c r="AR3" s="782"/>
      <c r="AS3" s="23"/>
      <c r="AT3" s="28"/>
      <c r="AU3" s="21"/>
      <c r="AV3" s="17"/>
      <c r="AW3" s="18"/>
      <c r="AX3" s="19"/>
    </row>
    <row r="4" spans="1:50" s="1" customFormat="1" ht="27.95" customHeight="1" thickTop="1" thickBot="1">
      <c r="A4" s="857" t="s">
        <v>608</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23"/>
      <c r="AT4" s="28"/>
      <c r="AU4" s="21"/>
      <c r="AV4" s="17"/>
      <c r="AW4" s="18"/>
      <c r="AX4" s="19"/>
    </row>
    <row r="5" spans="1:50" s="1" customFormat="1" ht="27.95" customHeight="1" thickTop="1" thickBot="1">
      <c r="A5" s="1002"/>
      <c r="B5" s="1002"/>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c r="AH5" s="1002"/>
      <c r="AI5" s="1002"/>
      <c r="AJ5" s="1002"/>
      <c r="AK5" s="1002"/>
      <c r="AL5" s="1002"/>
      <c r="AM5" s="1002"/>
      <c r="AN5" s="1002"/>
      <c r="AO5" s="1002"/>
      <c r="AP5" s="1002"/>
      <c r="AQ5" s="1002"/>
      <c r="AR5" s="1002"/>
      <c r="AS5" s="163"/>
      <c r="AT5" s="28"/>
      <c r="AU5" s="21"/>
      <c r="AV5" s="17"/>
      <c r="AW5" s="18"/>
      <c r="AX5" s="19"/>
    </row>
    <row r="6" spans="1:50" ht="27.95" customHeight="1" thickTop="1" thickBot="1">
      <c r="A6" s="1002"/>
      <c r="B6" s="1002"/>
      <c r="C6" s="1002" t="s">
        <v>45</v>
      </c>
      <c r="D6" s="1002"/>
      <c r="E6" s="1002"/>
      <c r="F6" s="328"/>
      <c r="G6" s="1002" t="s">
        <v>311</v>
      </c>
      <c r="H6" s="1002"/>
      <c r="I6" s="1002"/>
      <c r="J6" s="1002"/>
      <c r="K6" s="1003" t="s">
        <v>44</v>
      </c>
      <c r="L6" s="1003" t="s">
        <v>10</v>
      </c>
      <c r="M6" s="1004" t="s">
        <v>1</v>
      </c>
      <c r="N6" s="999" t="s">
        <v>48</v>
      </c>
      <c r="O6" s="999" t="s">
        <v>2</v>
      </c>
      <c r="P6" s="999" t="s">
        <v>3</v>
      </c>
      <c r="Q6" s="999" t="s">
        <v>4</v>
      </c>
      <c r="R6" s="999" t="s">
        <v>5</v>
      </c>
      <c r="S6" s="999" t="s">
        <v>6</v>
      </c>
      <c r="T6" s="1001" t="s">
        <v>7</v>
      </c>
      <c r="U6" s="1001"/>
      <c r="V6" s="1001"/>
      <c r="W6" s="1001"/>
      <c r="X6" s="1001"/>
      <c r="Y6" s="1020" t="s">
        <v>564</v>
      </c>
      <c r="Z6" s="1020"/>
      <c r="AA6" s="1020"/>
      <c r="AB6" s="1020"/>
      <c r="AC6" s="1020"/>
      <c r="AD6" s="1020"/>
      <c r="AE6" s="1020"/>
      <c r="AF6" s="1020"/>
      <c r="AG6" s="1020"/>
      <c r="AH6" s="1020"/>
      <c r="AI6" s="1020"/>
      <c r="AJ6" s="1020"/>
      <c r="AK6" s="1020"/>
      <c r="AL6" s="1020"/>
      <c r="AM6" s="1020"/>
      <c r="AN6" s="1020"/>
      <c r="AO6" s="1020"/>
      <c r="AP6" s="1020"/>
      <c r="AQ6" s="287" t="s">
        <v>8</v>
      </c>
      <c r="AR6" s="281" t="s">
        <v>9</v>
      </c>
      <c r="AS6" s="164"/>
      <c r="AT6" s="20" t="s">
        <v>39</v>
      </c>
      <c r="AU6" s="15" t="s">
        <v>30</v>
      </c>
      <c r="AV6" s="16" t="s">
        <v>31</v>
      </c>
      <c r="AW6" s="16" t="s">
        <v>32</v>
      </c>
      <c r="AX6" s="16" t="s">
        <v>33</v>
      </c>
    </row>
    <row r="7" spans="1:50" ht="68.25" customHeight="1" thickTop="1">
      <c r="A7" s="281" t="s">
        <v>42</v>
      </c>
      <c r="B7" s="281" t="s">
        <v>43</v>
      </c>
      <c r="C7" s="281" t="s">
        <v>11</v>
      </c>
      <c r="D7" s="281" t="s">
        <v>52</v>
      </c>
      <c r="E7" s="281" t="s">
        <v>47</v>
      </c>
      <c r="F7" s="281" t="s">
        <v>41</v>
      </c>
      <c r="G7" s="282" t="s">
        <v>46</v>
      </c>
      <c r="H7" s="281" t="s">
        <v>52</v>
      </c>
      <c r="I7" s="281" t="s">
        <v>12</v>
      </c>
      <c r="J7" s="281" t="s">
        <v>47</v>
      </c>
      <c r="K7" s="1003"/>
      <c r="L7" s="1003"/>
      <c r="M7" s="1004"/>
      <c r="N7" s="999"/>
      <c r="O7" s="999"/>
      <c r="P7" s="999"/>
      <c r="Q7" s="999"/>
      <c r="R7" s="999"/>
      <c r="S7" s="999"/>
      <c r="T7" s="281" t="s">
        <v>13</v>
      </c>
      <c r="U7" s="281" t="s">
        <v>14</v>
      </c>
      <c r="V7" s="252" t="s">
        <v>15</v>
      </c>
      <c r="W7" s="252" t="s">
        <v>682</v>
      </c>
      <c r="X7" s="252" t="s">
        <v>16</v>
      </c>
      <c r="Y7" s="287" t="s">
        <v>565</v>
      </c>
      <c r="Z7" s="287" t="s">
        <v>566</v>
      </c>
      <c r="AA7" s="287" t="s">
        <v>567</v>
      </c>
      <c r="AB7" s="287" t="s">
        <v>568</v>
      </c>
      <c r="AC7" s="287" t="s">
        <v>569</v>
      </c>
      <c r="AD7" s="287" t="s">
        <v>570</v>
      </c>
      <c r="AE7" s="287" t="s">
        <v>571</v>
      </c>
      <c r="AF7" s="287" t="s">
        <v>572</v>
      </c>
      <c r="AG7" s="287" t="s">
        <v>573</v>
      </c>
      <c r="AH7" s="287" t="s">
        <v>574</v>
      </c>
      <c r="AI7" s="287" t="s">
        <v>575</v>
      </c>
      <c r="AJ7" s="287" t="s">
        <v>576</v>
      </c>
      <c r="AK7" s="287" t="s">
        <v>577</v>
      </c>
      <c r="AL7" s="287" t="s">
        <v>578</v>
      </c>
      <c r="AM7" s="287" t="s">
        <v>579</v>
      </c>
      <c r="AN7" s="287" t="s">
        <v>580</v>
      </c>
      <c r="AO7" s="287" t="s">
        <v>581</v>
      </c>
      <c r="AP7" s="287" t="s">
        <v>582</v>
      </c>
      <c r="AQ7" s="287"/>
      <c r="AR7" s="281" t="s">
        <v>9</v>
      </c>
      <c r="AS7" s="164"/>
    </row>
    <row r="8" spans="1:50" s="1" customFormat="1" ht="120.75" customHeight="1">
      <c r="A8" s="1011" t="s">
        <v>221</v>
      </c>
      <c r="B8" s="1011" t="s">
        <v>76</v>
      </c>
      <c r="C8" s="1011" t="s">
        <v>77</v>
      </c>
      <c r="D8" s="1011" t="s">
        <v>53</v>
      </c>
      <c r="E8" s="1011">
        <v>20</v>
      </c>
      <c r="F8" s="1011" t="s">
        <v>83</v>
      </c>
      <c r="G8" s="1011" t="s">
        <v>84</v>
      </c>
      <c r="H8" s="1011" t="s">
        <v>18</v>
      </c>
      <c r="I8" s="1019">
        <v>83</v>
      </c>
      <c r="J8" s="1014">
        <v>85</v>
      </c>
      <c r="K8" s="1014"/>
      <c r="L8" s="1014" t="s">
        <v>95</v>
      </c>
      <c r="M8" s="191" t="s">
        <v>468</v>
      </c>
      <c r="N8" s="54">
        <v>80</v>
      </c>
      <c r="O8" s="322" t="s">
        <v>358</v>
      </c>
      <c r="P8" s="54">
        <v>20</v>
      </c>
      <c r="Q8" s="54">
        <v>20</v>
      </c>
      <c r="R8" s="54">
        <v>20</v>
      </c>
      <c r="S8" s="54">
        <v>20</v>
      </c>
      <c r="T8" s="1017" t="s">
        <v>382</v>
      </c>
      <c r="U8" s="1018"/>
      <c r="V8" s="1015">
        <v>318985920</v>
      </c>
      <c r="W8" s="58"/>
      <c r="X8" s="1015">
        <f t="shared" ref="X8:X21" si="0">V8</f>
        <v>318985920</v>
      </c>
      <c r="Y8" s="287"/>
      <c r="Z8" s="287"/>
      <c r="AA8" s="287"/>
      <c r="AB8" s="287"/>
      <c r="AC8" s="287">
        <v>96381379</v>
      </c>
      <c r="AD8" s="287">
        <v>39069116</v>
      </c>
      <c r="AE8" s="287"/>
      <c r="AF8" s="287"/>
      <c r="AG8" s="287">
        <f>+AC8+AD8+AE8+AF8</f>
        <v>135450495</v>
      </c>
      <c r="AH8" s="1006">
        <f>+(AG8+AG9)/X8</f>
        <v>0.84925688883070449</v>
      </c>
      <c r="AI8" s="287"/>
      <c r="AJ8" s="287"/>
      <c r="AK8" s="287"/>
      <c r="AL8" s="287"/>
      <c r="AM8" s="287"/>
      <c r="AN8" s="287"/>
      <c r="AO8" s="287"/>
      <c r="AP8" s="287"/>
      <c r="AQ8" s="287" t="s">
        <v>22</v>
      </c>
      <c r="AR8" s="287" t="s">
        <v>22</v>
      </c>
      <c r="AS8" s="994" t="s">
        <v>336</v>
      </c>
    </row>
    <row r="9" spans="1:50" s="1" customFormat="1" ht="120.75" customHeight="1">
      <c r="A9" s="1011"/>
      <c r="B9" s="1011"/>
      <c r="C9" s="1011"/>
      <c r="D9" s="1011"/>
      <c r="E9" s="1011"/>
      <c r="F9" s="1011"/>
      <c r="G9" s="1011"/>
      <c r="H9" s="1011"/>
      <c r="I9" s="1019"/>
      <c r="J9" s="1014"/>
      <c r="K9" s="1014"/>
      <c r="L9" s="1014"/>
      <c r="M9" s="191" t="s">
        <v>469</v>
      </c>
      <c r="N9" s="54">
        <v>10</v>
      </c>
      <c r="O9" s="322" t="s">
        <v>358</v>
      </c>
      <c r="P9" s="54">
        <v>2</v>
      </c>
      <c r="Q9" s="54">
        <v>2</v>
      </c>
      <c r="R9" s="54">
        <v>2</v>
      </c>
      <c r="S9" s="54">
        <v>2</v>
      </c>
      <c r="T9" s="1017"/>
      <c r="U9" s="1018"/>
      <c r="V9" s="1015"/>
      <c r="W9" s="58"/>
      <c r="X9" s="1015"/>
      <c r="Y9" s="287"/>
      <c r="Z9" s="287"/>
      <c r="AA9" s="287"/>
      <c r="AB9" s="287"/>
      <c r="AC9" s="287">
        <v>96381379</v>
      </c>
      <c r="AD9" s="287">
        <v>39069116</v>
      </c>
      <c r="AE9" s="287"/>
      <c r="AF9" s="287"/>
      <c r="AG9" s="287">
        <f t="shared" ref="AG9:AG25" si="1">+AC9+AD9+AE9+AF9</f>
        <v>135450495</v>
      </c>
      <c r="AH9" s="1007"/>
      <c r="AI9" s="287"/>
      <c r="AJ9" s="287"/>
      <c r="AK9" s="287"/>
      <c r="AL9" s="287"/>
      <c r="AM9" s="287"/>
      <c r="AN9" s="287"/>
      <c r="AO9" s="287"/>
      <c r="AP9" s="287"/>
      <c r="AQ9" s="287"/>
      <c r="AR9" s="287"/>
      <c r="AS9" s="995"/>
    </row>
    <row r="10" spans="1:50" s="1" customFormat="1" ht="120.75" customHeight="1">
      <c r="A10" s="1011"/>
      <c r="B10" s="1011"/>
      <c r="C10" s="1011" t="s">
        <v>78</v>
      </c>
      <c r="D10" s="1011" t="s">
        <v>82</v>
      </c>
      <c r="E10" s="1011">
        <v>0</v>
      </c>
      <c r="F10" s="1011"/>
      <c r="G10" s="1011" t="s">
        <v>85</v>
      </c>
      <c r="H10" s="1011" t="s">
        <v>86</v>
      </c>
      <c r="I10" s="1014">
        <v>69.7</v>
      </c>
      <c r="J10" s="1014">
        <v>69.7</v>
      </c>
      <c r="K10" s="1014"/>
      <c r="L10" s="1014" t="s">
        <v>96</v>
      </c>
      <c r="M10" s="191" t="s">
        <v>470</v>
      </c>
      <c r="N10" s="54">
        <v>144</v>
      </c>
      <c r="O10" s="54" t="s">
        <v>19</v>
      </c>
      <c r="P10" s="54">
        <v>36</v>
      </c>
      <c r="Q10" s="54">
        <v>36</v>
      </c>
      <c r="R10" s="54">
        <v>36</v>
      </c>
      <c r="S10" s="54">
        <v>36</v>
      </c>
      <c r="T10" s="61"/>
      <c r="U10" s="57"/>
      <c r="V10" s="1015">
        <v>125772872.90000001</v>
      </c>
      <c r="W10" s="58"/>
      <c r="X10" s="1015">
        <f>V10</f>
        <v>125772872.90000001</v>
      </c>
      <c r="Y10" s="287"/>
      <c r="Z10" s="287"/>
      <c r="AA10" s="287"/>
      <c r="AB10" s="287"/>
      <c r="AC10" s="287">
        <v>42353021</v>
      </c>
      <c r="AD10" s="287">
        <v>31146501</v>
      </c>
      <c r="AE10" s="287"/>
      <c r="AF10" s="287"/>
      <c r="AG10" s="287">
        <f t="shared" si="1"/>
        <v>73499522</v>
      </c>
      <c r="AH10" s="1006">
        <f>+(AG10+AG11)/X10</f>
        <v>1.1687658921242625</v>
      </c>
      <c r="AI10" s="287"/>
      <c r="AJ10" s="287"/>
      <c r="AK10" s="287"/>
      <c r="AL10" s="287"/>
      <c r="AM10" s="287"/>
      <c r="AN10" s="287"/>
      <c r="AO10" s="287"/>
      <c r="AP10" s="287"/>
      <c r="AQ10" s="287"/>
      <c r="AR10" s="287"/>
      <c r="AS10" s="995"/>
    </row>
    <row r="11" spans="1:50" s="1" customFormat="1" ht="107.25" customHeight="1">
      <c r="A11" s="1011"/>
      <c r="B11" s="1011"/>
      <c r="C11" s="1011"/>
      <c r="D11" s="1011"/>
      <c r="E11" s="1011"/>
      <c r="F11" s="1011"/>
      <c r="G11" s="1011"/>
      <c r="H11" s="1011"/>
      <c r="I11" s="1014"/>
      <c r="J11" s="1014"/>
      <c r="K11" s="1014"/>
      <c r="L11" s="1014"/>
      <c r="M11" s="54" t="s">
        <v>471</v>
      </c>
      <c r="N11" s="54">
        <v>12</v>
      </c>
      <c r="O11" s="54" t="s">
        <v>19</v>
      </c>
      <c r="P11" s="54">
        <v>3</v>
      </c>
      <c r="Q11" s="54">
        <v>3</v>
      </c>
      <c r="R11" s="54">
        <v>3</v>
      </c>
      <c r="S11" s="54">
        <v>3</v>
      </c>
      <c r="T11" s="61" t="s">
        <v>382</v>
      </c>
      <c r="U11" s="57"/>
      <c r="V11" s="1015"/>
      <c r="W11" s="58"/>
      <c r="X11" s="1015"/>
      <c r="Y11" s="287"/>
      <c r="Z11" s="287"/>
      <c r="AA11" s="287"/>
      <c r="AB11" s="287"/>
      <c r="AC11" s="287">
        <v>42353021</v>
      </c>
      <c r="AD11" s="287">
        <v>31146501</v>
      </c>
      <c r="AE11" s="287"/>
      <c r="AF11" s="287"/>
      <c r="AG11" s="287">
        <f t="shared" si="1"/>
        <v>73499522</v>
      </c>
      <c r="AH11" s="1007"/>
      <c r="AI11" s="287"/>
      <c r="AJ11" s="287"/>
      <c r="AK11" s="287"/>
      <c r="AL11" s="287"/>
      <c r="AM11" s="287"/>
      <c r="AN11" s="287"/>
      <c r="AO11" s="287"/>
      <c r="AP11" s="287"/>
      <c r="AQ11" s="287" t="s">
        <v>22</v>
      </c>
      <c r="AR11" s="287" t="s">
        <v>22</v>
      </c>
      <c r="AS11" s="995"/>
    </row>
    <row r="12" spans="1:50" s="1" customFormat="1" ht="107.25" customHeight="1">
      <c r="A12" s="1011"/>
      <c r="B12" s="1011"/>
      <c r="C12" s="1011" t="s">
        <v>79</v>
      </c>
      <c r="D12" s="1011" t="s">
        <v>82</v>
      </c>
      <c r="E12" s="1011">
        <v>0.97</v>
      </c>
      <c r="F12" s="1011"/>
      <c r="G12" s="1011" t="s">
        <v>87</v>
      </c>
      <c r="H12" s="1011" t="s">
        <v>18</v>
      </c>
      <c r="I12" s="1014">
        <v>75</v>
      </c>
      <c r="J12" s="1014">
        <v>76</v>
      </c>
      <c r="K12" s="1014"/>
      <c r="L12" s="1014" t="s">
        <v>97</v>
      </c>
      <c r="M12" s="191" t="s">
        <v>472</v>
      </c>
      <c r="N12" s="54">
        <v>100</v>
      </c>
      <c r="O12" s="322" t="s">
        <v>358</v>
      </c>
      <c r="P12" s="54">
        <v>25</v>
      </c>
      <c r="Q12" s="54">
        <v>25</v>
      </c>
      <c r="R12" s="54">
        <v>25</v>
      </c>
      <c r="S12" s="54">
        <v>25</v>
      </c>
      <c r="T12" s="61"/>
      <c r="U12" s="57"/>
      <c r="V12" s="1015">
        <f>63000000+67244386.1536</f>
        <v>130244386.15360001</v>
      </c>
      <c r="W12" s="58"/>
      <c r="X12" s="1015">
        <f>V12</f>
        <v>130244386.15360001</v>
      </c>
      <c r="Y12" s="287"/>
      <c r="Z12" s="287"/>
      <c r="AA12" s="287"/>
      <c r="AB12" s="287"/>
      <c r="AC12" s="287">
        <v>19806612</v>
      </c>
      <c r="AD12" s="287">
        <v>10862682</v>
      </c>
      <c r="AE12" s="287"/>
      <c r="AF12" s="287"/>
      <c r="AG12" s="287">
        <f t="shared" si="1"/>
        <v>30669294</v>
      </c>
      <c r="AH12" s="376">
        <f>+(AG12+AG13)/X12</f>
        <v>0.47094995655061928</v>
      </c>
      <c r="AI12" s="287"/>
      <c r="AJ12" s="287"/>
      <c r="AK12" s="287"/>
      <c r="AL12" s="287"/>
      <c r="AM12" s="287"/>
      <c r="AN12" s="287"/>
      <c r="AO12" s="287"/>
      <c r="AP12" s="287"/>
      <c r="AQ12" s="287"/>
      <c r="AR12" s="287"/>
      <c r="AS12" s="995"/>
    </row>
    <row r="13" spans="1:50" s="1" customFormat="1" ht="96" customHeight="1">
      <c r="A13" s="1011"/>
      <c r="B13" s="1011"/>
      <c r="C13" s="1011"/>
      <c r="D13" s="1011"/>
      <c r="E13" s="1011"/>
      <c r="F13" s="1011"/>
      <c r="G13" s="1011"/>
      <c r="H13" s="1011"/>
      <c r="I13" s="1014"/>
      <c r="J13" s="1014"/>
      <c r="K13" s="1014"/>
      <c r="L13" s="1014"/>
      <c r="M13" s="191" t="s">
        <v>473</v>
      </c>
      <c r="N13" s="54">
        <v>85</v>
      </c>
      <c r="O13" s="322" t="s">
        <v>358</v>
      </c>
      <c r="P13" s="54">
        <v>21.25</v>
      </c>
      <c r="Q13" s="54">
        <v>21.25</v>
      </c>
      <c r="R13" s="54">
        <v>21.25</v>
      </c>
      <c r="S13" s="54">
        <v>21.25</v>
      </c>
      <c r="T13" s="61" t="s">
        <v>382</v>
      </c>
      <c r="U13" s="57"/>
      <c r="V13" s="1015"/>
      <c r="W13" s="58"/>
      <c r="X13" s="1015"/>
      <c r="Y13" s="287"/>
      <c r="Z13" s="287"/>
      <c r="AA13" s="287"/>
      <c r="AB13" s="287"/>
      <c r="AC13" s="287">
        <v>19806612</v>
      </c>
      <c r="AD13" s="287">
        <v>10862682</v>
      </c>
      <c r="AE13" s="287"/>
      <c r="AF13" s="287"/>
      <c r="AG13" s="287">
        <f t="shared" si="1"/>
        <v>30669294</v>
      </c>
      <c r="AH13" s="376" t="e">
        <f>+(AG13+AG14)/X13</f>
        <v>#DIV/0!</v>
      </c>
      <c r="AI13" s="287"/>
      <c r="AJ13" s="287"/>
      <c r="AK13" s="287"/>
      <c r="AL13" s="287"/>
      <c r="AM13" s="287"/>
      <c r="AN13" s="287"/>
      <c r="AO13" s="287"/>
      <c r="AP13" s="287"/>
      <c r="AQ13" s="287" t="s">
        <v>22</v>
      </c>
      <c r="AR13" s="287" t="s">
        <v>22</v>
      </c>
      <c r="AS13" s="995"/>
    </row>
    <row r="14" spans="1:50" s="1" customFormat="1" ht="106.5" customHeight="1">
      <c r="A14" s="1011"/>
      <c r="B14" s="1011"/>
      <c r="C14" s="53" t="s">
        <v>80</v>
      </c>
      <c r="D14" s="54" t="s">
        <v>17</v>
      </c>
      <c r="E14" s="54">
        <v>0</v>
      </c>
      <c r="F14" s="1011"/>
      <c r="G14" s="55" t="s">
        <v>88</v>
      </c>
      <c r="H14" s="55" t="s">
        <v>18</v>
      </c>
      <c r="I14" s="59">
        <v>9</v>
      </c>
      <c r="J14" s="59">
        <v>10</v>
      </c>
      <c r="K14" s="1014"/>
      <c r="L14" s="1014" t="s">
        <v>95</v>
      </c>
      <c r="M14" s="60" t="s">
        <v>474</v>
      </c>
      <c r="N14" s="54">
        <v>100</v>
      </c>
      <c r="O14" s="322" t="s">
        <v>358</v>
      </c>
      <c r="P14" s="54">
        <v>25</v>
      </c>
      <c r="Q14" s="54">
        <v>25</v>
      </c>
      <c r="R14" s="54">
        <v>25</v>
      </c>
      <c r="S14" s="54">
        <v>25</v>
      </c>
      <c r="T14" s="61" t="s">
        <v>382</v>
      </c>
      <c r="U14" s="57"/>
      <c r="V14" s="58">
        <f>56700000+1101853184.19+79890987.6576</f>
        <v>1238444171.8476</v>
      </c>
      <c r="W14" s="58"/>
      <c r="X14" s="58">
        <f t="shared" si="0"/>
        <v>1238444171.8476</v>
      </c>
      <c r="Y14" s="287"/>
      <c r="Z14" s="287"/>
      <c r="AA14" s="287"/>
      <c r="AB14" s="287"/>
      <c r="AC14" s="287">
        <v>96381379</v>
      </c>
      <c r="AD14" s="287">
        <v>39069116</v>
      </c>
      <c r="AE14" s="287"/>
      <c r="AF14" s="287"/>
      <c r="AG14" s="287">
        <f t="shared" si="1"/>
        <v>135450495</v>
      </c>
      <c r="AH14" s="376">
        <f>+(AG14)/X14</f>
        <v>0.10937149859401835</v>
      </c>
      <c r="AI14" s="287"/>
      <c r="AJ14" s="287"/>
      <c r="AK14" s="287"/>
      <c r="AL14" s="287"/>
      <c r="AM14" s="287"/>
      <c r="AN14" s="287"/>
      <c r="AO14" s="287"/>
      <c r="AP14" s="287"/>
      <c r="AQ14" s="287" t="s">
        <v>22</v>
      </c>
      <c r="AR14" s="287" t="s">
        <v>22</v>
      </c>
      <c r="AS14" s="995"/>
    </row>
    <row r="15" spans="1:50" s="1" customFormat="1" ht="102" customHeight="1">
      <c r="A15" s="1011"/>
      <c r="B15" s="1011"/>
      <c r="C15" s="1016" t="s">
        <v>81</v>
      </c>
      <c r="D15" s="1011" t="s">
        <v>82</v>
      </c>
      <c r="E15" s="1011">
        <v>1.1599999999999999</v>
      </c>
      <c r="F15" s="1011"/>
      <c r="G15" s="55" t="s">
        <v>89</v>
      </c>
      <c r="H15" s="55" t="s">
        <v>18</v>
      </c>
      <c r="I15" s="59">
        <v>75</v>
      </c>
      <c r="J15" s="59">
        <v>75</v>
      </c>
      <c r="K15" s="1014"/>
      <c r="L15" s="1014"/>
      <c r="M15" s="191" t="s">
        <v>470</v>
      </c>
      <c r="N15" s="54">
        <v>144</v>
      </c>
      <c r="O15" s="54" t="s">
        <v>19</v>
      </c>
      <c r="P15" s="54">
        <v>36</v>
      </c>
      <c r="Q15" s="54">
        <v>36</v>
      </c>
      <c r="R15" s="54">
        <v>36</v>
      </c>
      <c r="S15" s="54">
        <v>36</v>
      </c>
      <c r="T15" s="61" t="s">
        <v>382</v>
      </c>
      <c r="U15" s="57"/>
      <c r="V15" s="58">
        <v>125772872.90000001</v>
      </c>
      <c r="W15" s="58"/>
      <c r="X15" s="58">
        <f t="shared" si="0"/>
        <v>125772872.90000001</v>
      </c>
      <c r="Y15" s="287"/>
      <c r="Z15" s="287"/>
      <c r="AA15" s="287"/>
      <c r="AB15" s="287"/>
      <c r="AC15" s="287">
        <v>42353021</v>
      </c>
      <c r="AD15" s="287">
        <v>31146501</v>
      </c>
      <c r="AE15" s="287"/>
      <c r="AF15" s="287"/>
      <c r="AG15" s="287">
        <f t="shared" si="1"/>
        <v>73499522</v>
      </c>
      <c r="AH15" s="376">
        <f t="shared" ref="AH15" si="2">+(AG15)/X15</f>
        <v>0.58438294606213126</v>
      </c>
      <c r="AI15" s="287"/>
      <c r="AJ15" s="287"/>
      <c r="AK15" s="287"/>
      <c r="AL15" s="287"/>
      <c r="AM15" s="287"/>
      <c r="AN15" s="287"/>
      <c r="AO15" s="287"/>
      <c r="AP15" s="287"/>
      <c r="AQ15" s="287" t="s">
        <v>22</v>
      </c>
      <c r="AR15" s="287" t="s">
        <v>22</v>
      </c>
      <c r="AS15" s="995"/>
    </row>
    <row r="16" spans="1:50" s="1" customFormat="1" ht="102" customHeight="1">
      <c r="A16" s="1011"/>
      <c r="B16" s="1011"/>
      <c r="C16" s="1016"/>
      <c r="D16" s="1011"/>
      <c r="E16" s="1011"/>
      <c r="F16" s="1011"/>
      <c r="G16" s="1011" t="s">
        <v>90</v>
      </c>
      <c r="H16" s="1011" t="s">
        <v>18</v>
      </c>
      <c r="I16" s="1014">
        <v>8</v>
      </c>
      <c r="J16" s="1014">
        <v>5</v>
      </c>
      <c r="K16" s="1014"/>
      <c r="L16" s="1014" t="s">
        <v>97</v>
      </c>
      <c r="M16" s="191" t="s">
        <v>475</v>
      </c>
      <c r="N16" s="54">
        <v>80</v>
      </c>
      <c r="O16" s="322" t="s">
        <v>358</v>
      </c>
      <c r="P16" s="54">
        <v>20</v>
      </c>
      <c r="Q16" s="54">
        <v>20</v>
      </c>
      <c r="R16" s="54">
        <v>20</v>
      </c>
      <c r="S16" s="54">
        <v>20</v>
      </c>
      <c r="T16" s="61"/>
      <c r="U16" s="57"/>
      <c r="V16" s="1015">
        <f>63000000+67244386.1536</f>
        <v>130244386.15360001</v>
      </c>
      <c r="W16" s="58"/>
      <c r="X16" s="1015">
        <f>V16</f>
        <v>130244386.15360001</v>
      </c>
      <c r="Y16" s="287"/>
      <c r="Z16" s="287"/>
      <c r="AA16" s="287"/>
      <c r="AB16" s="287"/>
      <c r="AC16" s="287">
        <v>19806612</v>
      </c>
      <c r="AD16" s="287">
        <v>10862682</v>
      </c>
      <c r="AE16" s="287"/>
      <c r="AF16" s="287"/>
      <c r="AG16" s="287">
        <f t="shared" si="1"/>
        <v>30669294</v>
      </c>
      <c r="AH16" s="1006">
        <f>+(AG16+AG17)/X16</f>
        <v>0.47094995655061928</v>
      </c>
      <c r="AI16" s="287"/>
      <c r="AJ16" s="287"/>
      <c r="AK16" s="287"/>
      <c r="AL16" s="287"/>
      <c r="AM16" s="287"/>
      <c r="AN16" s="287"/>
      <c r="AO16" s="287"/>
      <c r="AP16" s="287"/>
      <c r="AQ16" s="287"/>
      <c r="AR16" s="287"/>
      <c r="AS16" s="995"/>
    </row>
    <row r="17" spans="1:47" s="1" customFormat="1" ht="78.75" customHeight="1">
      <c r="A17" s="1011"/>
      <c r="B17" s="1011"/>
      <c r="C17" s="1016"/>
      <c r="D17" s="1011"/>
      <c r="E17" s="1011"/>
      <c r="F17" s="1011"/>
      <c r="G17" s="1011"/>
      <c r="H17" s="1011"/>
      <c r="I17" s="1014"/>
      <c r="J17" s="1014"/>
      <c r="K17" s="1014"/>
      <c r="L17" s="1014"/>
      <c r="M17" s="60" t="s">
        <v>476</v>
      </c>
      <c r="N17" s="54">
        <v>80</v>
      </c>
      <c r="O17" s="322" t="s">
        <v>358</v>
      </c>
      <c r="P17" s="54">
        <v>20</v>
      </c>
      <c r="Q17" s="54">
        <v>20</v>
      </c>
      <c r="R17" s="54">
        <v>20</v>
      </c>
      <c r="S17" s="54">
        <v>20</v>
      </c>
      <c r="T17" s="61" t="s">
        <v>23</v>
      </c>
      <c r="U17" s="57"/>
      <c r="V17" s="1015"/>
      <c r="W17" s="58"/>
      <c r="X17" s="1015"/>
      <c r="Y17" s="287"/>
      <c r="Z17" s="287"/>
      <c r="AA17" s="287"/>
      <c r="AB17" s="287"/>
      <c r="AC17" s="287">
        <v>19806612</v>
      </c>
      <c r="AD17" s="287">
        <v>10862682</v>
      </c>
      <c r="AE17" s="287"/>
      <c r="AF17" s="287"/>
      <c r="AG17" s="287">
        <f t="shared" si="1"/>
        <v>30669294</v>
      </c>
      <c r="AH17" s="1007"/>
      <c r="AI17" s="287"/>
      <c r="AJ17" s="287"/>
      <c r="AK17" s="287"/>
      <c r="AL17" s="287"/>
      <c r="AM17" s="287"/>
      <c r="AN17" s="287"/>
      <c r="AO17" s="287"/>
      <c r="AP17" s="287"/>
      <c r="AQ17" s="287" t="s">
        <v>22</v>
      </c>
      <c r="AR17" s="287" t="s">
        <v>22</v>
      </c>
      <c r="AS17" s="995"/>
    </row>
    <row r="18" spans="1:47" s="1" customFormat="1" ht="96" customHeight="1">
      <c r="A18" s="1011"/>
      <c r="B18" s="1011"/>
      <c r="C18" s="1016"/>
      <c r="D18" s="1011"/>
      <c r="E18" s="1011"/>
      <c r="F18" s="1011"/>
      <c r="G18" s="55" t="s">
        <v>91</v>
      </c>
      <c r="H18" s="55" t="s">
        <v>18</v>
      </c>
      <c r="I18" s="59">
        <v>100</v>
      </c>
      <c r="J18" s="59">
        <v>100</v>
      </c>
      <c r="K18" s="56"/>
      <c r="L18" s="1014"/>
      <c r="M18" s="60" t="s">
        <v>476</v>
      </c>
      <c r="N18" s="54">
        <v>100</v>
      </c>
      <c r="O18" s="322" t="s">
        <v>358</v>
      </c>
      <c r="P18" s="54">
        <v>25</v>
      </c>
      <c r="Q18" s="54">
        <v>25</v>
      </c>
      <c r="R18" s="54">
        <v>25</v>
      </c>
      <c r="S18" s="54">
        <v>25</v>
      </c>
      <c r="T18" s="61" t="s">
        <v>23</v>
      </c>
      <c r="U18" s="57"/>
      <c r="V18" s="58">
        <f>56700000+67244386.1536</f>
        <v>123944386.15360001</v>
      </c>
      <c r="W18" s="58"/>
      <c r="X18" s="58">
        <f t="shared" si="0"/>
        <v>123944386.15360001</v>
      </c>
      <c r="Y18" s="287"/>
      <c r="Z18" s="287"/>
      <c r="AA18" s="287"/>
      <c r="AB18" s="287"/>
      <c r="AC18" s="287">
        <v>19806612</v>
      </c>
      <c r="AD18" s="287">
        <v>10862682</v>
      </c>
      <c r="AE18" s="287"/>
      <c r="AF18" s="287"/>
      <c r="AG18" s="287">
        <f t="shared" si="1"/>
        <v>30669294</v>
      </c>
      <c r="AH18" s="376">
        <f t="shared" ref="AH18" si="3">+(AG18+AG19)/X18</f>
        <v>0.24744399445403362</v>
      </c>
      <c r="AI18" s="287"/>
      <c r="AJ18" s="287"/>
      <c r="AK18" s="287"/>
      <c r="AL18" s="287"/>
      <c r="AM18" s="287"/>
      <c r="AN18" s="287"/>
      <c r="AO18" s="287"/>
      <c r="AP18" s="287"/>
      <c r="AQ18" s="287" t="s">
        <v>22</v>
      </c>
      <c r="AR18" s="287" t="s">
        <v>22</v>
      </c>
      <c r="AS18" s="995"/>
    </row>
    <row r="19" spans="1:47" s="1" customFormat="1" ht="100.5" customHeight="1">
      <c r="A19" s="1011"/>
      <c r="B19" s="1011"/>
      <c r="C19" s="1016"/>
      <c r="D19" s="1011"/>
      <c r="E19" s="1011"/>
      <c r="F19" s="1011"/>
      <c r="G19" s="55" t="s">
        <v>92</v>
      </c>
      <c r="H19" s="55" t="s">
        <v>17</v>
      </c>
      <c r="I19" s="59">
        <v>1</v>
      </c>
      <c r="J19" s="59">
        <v>1</v>
      </c>
      <c r="K19" s="56"/>
      <c r="L19" s="59" t="s">
        <v>98</v>
      </c>
      <c r="M19" s="60" t="s">
        <v>477</v>
      </c>
      <c r="N19" s="54">
        <v>100</v>
      </c>
      <c r="O19" s="322" t="s">
        <v>358</v>
      </c>
      <c r="P19" s="54">
        <v>25</v>
      </c>
      <c r="Q19" s="54">
        <v>25</v>
      </c>
      <c r="R19" s="54">
        <v>25</v>
      </c>
      <c r="S19" s="54">
        <v>25</v>
      </c>
      <c r="T19" s="61">
        <v>1020100</v>
      </c>
      <c r="U19" s="57"/>
      <c r="V19" s="58">
        <v>89838668.807999998</v>
      </c>
      <c r="W19" s="58"/>
      <c r="X19" s="58">
        <f t="shared" si="0"/>
        <v>89838668.807999998</v>
      </c>
      <c r="Y19" s="287"/>
      <c r="Z19" s="287"/>
      <c r="AA19" s="287"/>
      <c r="AB19" s="287"/>
      <c r="AC19" s="287">
        <v>0</v>
      </c>
      <c r="AD19" s="287">
        <v>0</v>
      </c>
      <c r="AE19" s="287"/>
      <c r="AF19" s="287"/>
      <c r="AG19" s="287">
        <f t="shared" si="1"/>
        <v>0</v>
      </c>
      <c r="AH19" s="376"/>
      <c r="AI19" s="287"/>
      <c r="AJ19" s="287"/>
      <c r="AK19" s="287"/>
      <c r="AL19" s="287"/>
      <c r="AM19" s="287"/>
      <c r="AN19" s="287"/>
      <c r="AO19" s="287"/>
      <c r="AP19" s="287"/>
      <c r="AQ19" s="287" t="s">
        <v>22</v>
      </c>
      <c r="AR19" s="287" t="s">
        <v>22</v>
      </c>
      <c r="AS19" s="995"/>
    </row>
    <row r="20" spans="1:47" s="1" customFormat="1" ht="93" customHeight="1">
      <c r="A20" s="1011"/>
      <c r="B20" s="1011"/>
      <c r="C20" s="1016"/>
      <c r="D20" s="1011"/>
      <c r="E20" s="1011"/>
      <c r="F20" s="1011" t="s">
        <v>99</v>
      </c>
      <c r="G20" s="55" t="s">
        <v>100</v>
      </c>
      <c r="H20" s="55" t="s">
        <v>17</v>
      </c>
      <c r="I20" s="59">
        <v>1</v>
      </c>
      <c r="J20" s="59">
        <v>1</v>
      </c>
      <c r="K20" s="56"/>
      <c r="L20" s="59" t="s">
        <v>102</v>
      </c>
      <c r="M20" s="60" t="s">
        <v>478</v>
      </c>
      <c r="N20" s="54">
        <v>12</v>
      </c>
      <c r="O20" s="54" t="s">
        <v>19</v>
      </c>
      <c r="P20" s="54">
        <v>3</v>
      </c>
      <c r="Q20" s="54">
        <v>3</v>
      </c>
      <c r="R20" s="54">
        <v>3</v>
      </c>
      <c r="S20" s="54">
        <v>3</v>
      </c>
      <c r="T20" s="61" t="s">
        <v>382</v>
      </c>
      <c r="U20" s="57"/>
      <c r="V20" s="58">
        <v>30465079.77888</v>
      </c>
      <c r="W20" s="58"/>
      <c r="X20" s="58">
        <f t="shared" si="0"/>
        <v>30465079.77888</v>
      </c>
      <c r="Y20" s="287"/>
      <c r="Z20" s="287"/>
      <c r="AA20" s="287"/>
      <c r="AB20" s="287"/>
      <c r="AC20" s="287">
        <v>6716648</v>
      </c>
      <c r="AD20" s="287">
        <v>3790307</v>
      </c>
      <c r="AE20" s="287"/>
      <c r="AF20" s="287"/>
      <c r="AG20" s="287">
        <f t="shared" si="1"/>
        <v>10506955</v>
      </c>
      <c r="AH20" s="376">
        <f>+AG20/X20</f>
        <v>0.34488519564895331</v>
      </c>
      <c r="AI20" s="287"/>
      <c r="AJ20" s="287"/>
      <c r="AK20" s="287"/>
      <c r="AL20" s="287"/>
      <c r="AM20" s="287"/>
      <c r="AN20" s="287"/>
      <c r="AO20" s="287"/>
      <c r="AP20" s="287"/>
      <c r="AQ20" s="287" t="s">
        <v>22</v>
      </c>
      <c r="AR20" s="287" t="s">
        <v>22</v>
      </c>
      <c r="AS20" s="995"/>
    </row>
    <row r="21" spans="1:47" s="1" customFormat="1" ht="99.75" customHeight="1">
      <c r="A21" s="1011"/>
      <c r="B21" s="1011"/>
      <c r="C21" s="1016"/>
      <c r="D21" s="1011"/>
      <c r="E21" s="1011"/>
      <c r="F21" s="1011"/>
      <c r="G21" s="55" t="s">
        <v>101</v>
      </c>
      <c r="H21" s="55" t="s">
        <v>18</v>
      </c>
      <c r="I21" s="59" t="s">
        <v>51</v>
      </c>
      <c r="J21" s="59">
        <v>40</v>
      </c>
      <c r="K21" s="56"/>
      <c r="L21" s="59" t="s">
        <v>103</v>
      </c>
      <c r="M21" s="60" t="s">
        <v>479</v>
      </c>
      <c r="N21" s="54">
        <v>12</v>
      </c>
      <c r="O21" s="54" t="s">
        <v>17</v>
      </c>
      <c r="P21" s="54">
        <v>3</v>
      </c>
      <c r="Q21" s="54">
        <v>3</v>
      </c>
      <c r="R21" s="54">
        <v>3</v>
      </c>
      <c r="S21" s="54">
        <v>3</v>
      </c>
      <c r="T21" s="61" t="s">
        <v>382</v>
      </c>
      <c r="U21" s="57"/>
      <c r="V21" s="58">
        <v>30465079.77888</v>
      </c>
      <c r="W21" s="58"/>
      <c r="X21" s="58">
        <f t="shared" si="0"/>
        <v>30465079.77888</v>
      </c>
      <c r="Y21" s="287"/>
      <c r="Z21" s="287"/>
      <c r="AA21" s="287"/>
      <c r="AB21" s="287"/>
      <c r="AC21" s="287">
        <v>6716648</v>
      </c>
      <c r="AD21" s="287">
        <v>3790307</v>
      </c>
      <c r="AE21" s="287"/>
      <c r="AF21" s="287"/>
      <c r="AG21" s="287">
        <f t="shared" si="1"/>
        <v>10506955</v>
      </c>
      <c r="AH21" s="376">
        <f t="shared" ref="AH21:AH24" si="4">+AG21/X21</f>
        <v>0.34488519564895331</v>
      </c>
      <c r="AI21" s="287"/>
      <c r="AJ21" s="287"/>
      <c r="AK21" s="287"/>
      <c r="AL21" s="287"/>
      <c r="AM21" s="287"/>
      <c r="AN21" s="287"/>
      <c r="AO21" s="287"/>
      <c r="AP21" s="287"/>
      <c r="AQ21" s="287" t="s">
        <v>22</v>
      </c>
      <c r="AR21" s="287" t="s">
        <v>22</v>
      </c>
      <c r="AS21" s="995"/>
      <c r="AU21" s="177"/>
    </row>
    <row r="22" spans="1:47" s="1" customFormat="1" ht="78.75" customHeight="1">
      <c r="A22" s="1011"/>
      <c r="B22" s="1011"/>
      <c r="C22" s="1016"/>
      <c r="D22" s="1011"/>
      <c r="E22" s="1011"/>
      <c r="F22" s="1011" t="s">
        <v>104</v>
      </c>
      <c r="G22" s="55" t="s">
        <v>105</v>
      </c>
      <c r="H22" s="55" t="s">
        <v>108</v>
      </c>
      <c r="I22" s="59">
        <v>1.5</v>
      </c>
      <c r="J22" s="59">
        <v>1.3</v>
      </c>
      <c r="K22" s="56"/>
      <c r="L22" s="59" t="s">
        <v>110</v>
      </c>
      <c r="M22" s="60" t="s">
        <v>480</v>
      </c>
      <c r="N22" s="54">
        <v>100</v>
      </c>
      <c r="O22" s="322" t="s">
        <v>358</v>
      </c>
      <c r="P22" s="54">
        <v>25</v>
      </c>
      <c r="Q22" s="54">
        <v>25</v>
      </c>
      <c r="R22" s="54">
        <v>25</v>
      </c>
      <c r="S22" s="54">
        <v>25</v>
      </c>
      <c r="T22" s="61" t="s">
        <v>382</v>
      </c>
      <c r="U22" s="57"/>
      <c r="V22" s="58">
        <v>75857409.449279994</v>
      </c>
      <c r="W22" s="58"/>
      <c r="X22" s="58">
        <f>V22</f>
        <v>75857409.449279994</v>
      </c>
      <c r="Y22" s="287"/>
      <c r="Z22" s="287"/>
      <c r="AA22" s="287"/>
      <c r="AB22" s="287"/>
      <c r="AC22" s="287">
        <v>27610991</v>
      </c>
      <c r="AD22" s="287">
        <v>27610991</v>
      </c>
      <c r="AE22" s="287"/>
      <c r="AF22" s="287"/>
      <c r="AG22" s="287">
        <f t="shared" si="1"/>
        <v>55221982</v>
      </c>
      <c r="AH22" s="376">
        <f t="shared" si="4"/>
        <v>0.72797083898472281</v>
      </c>
      <c r="AI22" s="287"/>
      <c r="AJ22" s="287"/>
      <c r="AK22" s="287"/>
      <c r="AL22" s="287"/>
      <c r="AM22" s="287"/>
      <c r="AN22" s="287"/>
      <c r="AO22" s="287"/>
      <c r="AP22" s="287"/>
      <c r="AQ22" s="287" t="s">
        <v>22</v>
      </c>
      <c r="AR22" s="287" t="s">
        <v>22</v>
      </c>
      <c r="AS22" s="995"/>
    </row>
    <row r="23" spans="1:47" s="1" customFormat="1" ht="88.5" customHeight="1">
      <c r="A23" s="1011"/>
      <c r="B23" s="1011"/>
      <c r="C23" s="1016"/>
      <c r="D23" s="1011"/>
      <c r="E23" s="1011"/>
      <c r="F23" s="1011"/>
      <c r="G23" s="55" t="s">
        <v>106</v>
      </c>
      <c r="H23" s="55" t="s">
        <v>108</v>
      </c>
      <c r="I23" s="59">
        <v>1.59</v>
      </c>
      <c r="J23" s="59">
        <v>1.3</v>
      </c>
      <c r="K23" s="56"/>
      <c r="L23" s="59" t="s">
        <v>111</v>
      </c>
      <c r="M23" s="54" t="s">
        <v>481</v>
      </c>
      <c r="N23" s="54">
        <v>100</v>
      </c>
      <c r="O23" s="322" t="s">
        <v>358</v>
      </c>
      <c r="P23" s="54">
        <v>25</v>
      </c>
      <c r="Q23" s="54">
        <v>25</v>
      </c>
      <c r="R23" s="54">
        <v>25</v>
      </c>
      <c r="S23" s="54">
        <v>25</v>
      </c>
      <c r="T23" s="61" t="s">
        <v>382</v>
      </c>
      <c r="U23" s="57"/>
      <c r="V23" s="58">
        <v>75857409.449279994</v>
      </c>
      <c r="W23" s="58"/>
      <c r="X23" s="58">
        <f>V23</f>
        <v>75857409.449279994</v>
      </c>
      <c r="Y23" s="287"/>
      <c r="Z23" s="287"/>
      <c r="AA23" s="287"/>
      <c r="AB23" s="287"/>
      <c r="AC23" s="287">
        <v>27610991</v>
      </c>
      <c r="AD23" s="287">
        <v>27610991</v>
      </c>
      <c r="AE23" s="287"/>
      <c r="AF23" s="287"/>
      <c r="AG23" s="287">
        <f t="shared" si="1"/>
        <v>55221982</v>
      </c>
      <c r="AH23" s="376">
        <f t="shared" si="4"/>
        <v>0.72797083898472281</v>
      </c>
      <c r="AI23" s="287"/>
      <c r="AJ23" s="287"/>
      <c r="AK23" s="287"/>
      <c r="AL23" s="287"/>
      <c r="AM23" s="287"/>
      <c r="AN23" s="287"/>
      <c r="AO23" s="287"/>
      <c r="AP23" s="287"/>
      <c r="AQ23" s="287" t="s">
        <v>22</v>
      </c>
      <c r="AR23" s="287" t="s">
        <v>22</v>
      </c>
      <c r="AS23" s="995"/>
    </row>
    <row r="24" spans="1:47" s="1" customFormat="1" ht="75" customHeight="1">
      <c r="A24" s="1011"/>
      <c r="B24" s="1011"/>
      <c r="C24" s="1016"/>
      <c r="D24" s="1011"/>
      <c r="E24" s="1011"/>
      <c r="F24" s="1011"/>
      <c r="G24" s="1016" t="s">
        <v>107</v>
      </c>
      <c r="H24" s="1011" t="s">
        <v>18</v>
      </c>
      <c r="I24" s="1014">
        <v>73</v>
      </c>
      <c r="J24" s="1014">
        <v>75</v>
      </c>
      <c r="K24" s="56"/>
      <c r="L24" s="59" t="s">
        <v>109</v>
      </c>
      <c r="M24" s="60" t="s">
        <v>482</v>
      </c>
      <c r="N24" s="54">
        <v>100</v>
      </c>
      <c r="O24" s="322" t="s">
        <v>358</v>
      </c>
      <c r="P24" s="54">
        <v>25</v>
      </c>
      <c r="Q24" s="54">
        <v>25</v>
      </c>
      <c r="R24" s="54">
        <v>25</v>
      </c>
      <c r="S24" s="54">
        <v>25</v>
      </c>
      <c r="T24" s="61" t="s">
        <v>382</v>
      </c>
      <c r="U24" s="57"/>
      <c r="V24" s="58">
        <v>75857409.449279994</v>
      </c>
      <c r="W24" s="58"/>
      <c r="X24" s="58">
        <f>V24</f>
        <v>75857409.449279994</v>
      </c>
      <c r="Y24" s="287"/>
      <c r="Z24" s="287"/>
      <c r="AA24" s="287"/>
      <c r="AB24" s="287"/>
      <c r="AC24" s="287">
        <v>27610991</v>
      </c>
      <c r="AD24" s="287">
        <v>27610991</v>
      </c>
      <c r="AE24" s="287"/>
      <c r="AF24" s="287"/>
      <c r="AG24" s="287">
        <f t="shared" si="1"/>
        <v>55221982</v>
      </c>
      <c r="AH24" s="376">
        <f t="shared" si="4"/>
        <v>0.72797083898472281</v>
      </c>
      <c r="AI24" s="287"/>
      <c r="AJ24" s="287"/>
      <c r="AK24" s="287"/>
      <c r="AL24" s="287"/>
      <c r="AM24" s="287"/>
      <c r="AN24" s="287"/>
      <c r="AO24" s="287"/>
      <c r="AP24" s="287"/>
      <c r="AQ24" s="287" t="s">
        <v>22</v>
      </c>
      <c r="AR24" s="287" t="s">
        <v>22</v>
      </c>
      <c r="AS24" s="995"/>
    </row>
    <row r="25" spans="1:47" s="1" customFormat="1" ht="99.75" customHeight="1">
      <c r="A25" s="1011"/>
      <c r="B25" s="1011"/>
      <c r="C25" s="1016"/>
      <c r="D25" s="1011"/>
      <c r="E25" s="1011"/>
      <c r="F25" s="1011"/>
      <c r="G25" s="1016"/>
      <c r="H25" s="1011"/>
      <c r="I25" s="1014"/>
      <c r="J25" s="1014"/>
      <c r="K25" s="56"/>
      <c r="L25" s="54" t="s">
        <v>112</v>
      </c>
      <c r="M25" s="60" t="s">
        <v>483</v>
      </c>
      <c r="N25" s="54">
        <v>100</v>
      </c>
      <c r="O25" s="322" t="s">
        <v>358</v>
      </c>
      <c r="P25" s="54">
        <v>25</v>
      </c>
      <c r="Q25" s="54">
        <v>25</v>
      </c>
      <c r="R25" s="54">
        <v>25</v>
      </c>
      <c r="S25" s="54">
        <v>25</v>
      </c>
      <c r="T25" s="61" t="s">
        <v>382</v>
      </c>
      <c r="U25" s="57"/>
      <c r="V25" s="58">
        <v>75857409.449279994</v>
      </c>
      <c r="W25" s="58"/>
      <c r="X25" s="58">
        <f>V25</f>
        <v>75857409.449279994</v>
      </c>
      <c r="Y25" s="287"/>
      <c r="Z25" s="287"/>
      <c r="AA25" s="287"/>
      <c r="AB25" s="287"/>
      <c r="AC25" s="287">
        <v>27610991</v>
      </c>
      <c r="AD25" s="287">
        <v>27610991</v>
      </c>
      <c r="AE25" s="287"/>
      <c r="AF25" s="287"/>
      <c r="AG25" s="287">
        <f t="shared" si="1"/>
        <v>55221982</v>
      </c>
      <c r="AH25" s="376">
        <f>+AG25/X25</f>
        <v>0.72797083898472281</v>
      </c>
      <c r="AI25" s="287"/>
      <c r="AJ25" s="287"/>
      <c r="AK25" s="287"/>
      <c r="AL25" s="287"/>
      <c r="AM25" s="287"/>
      <c r="AN25" s="287"/>
      <c r="AO25" s="287"/>
      <c r="AP25" s="287"/>
      <c r="AQ25" s="287" t="s">
        <v>22</v>
      </c>
      <c r="AR25" s="287" t="s">
        <v>22</v>
      </c>
      <c r="AS25" s="996"/>
    </row>
    <row r="26" spans="1:47" s="1" customFormat="1" ht="65.25" customHeight="1">
      <c r="A26" s="1010" t="s">
        <v>607</v>
      </c>
      <c r="B26" s="1010"/>
      <c r="C26" s="1010"/>
      <c r="D26" s="1010"/>
      <c r="E26" s="1010"/>
      <c r="F26" s="1010"/>
      <c r="G26" s="1010"/>
      <c r="H26" s="1010"/>
      <c r="I26" s="1010"/>
      <c r="J26" s="1010"/>
      <c r="K26" s="1010"/>
      <c r="L26" s="1010"/>
      <c r="M26" s="1010"/>
      <c r="N26" s="239">
        <f>N21+N20+N15+N11+N10</f>
        <v>324</v>
      </c>
      <c r="O26" s="239" t="s">
        <v>17</v>
      </c>
      <c r="P26" s="239">
        <f>P21+P20+P15+P10+P11</f>
        <v>81</v>
      </c>
      <c r="Q26" s="239">
        <f t="shared" ref="Q26:S26" si="5">Q21+Q20+Q15+Q10+Q11</f>
        <v>81</v>
      </c>
      <c r="R26" s="239">
        <f t="shared" si="5"/>
        <v>81</v>
      </c>
      <c r="S26" s="239">
        <f t="shared" si="5"/>
        <v>81</v>
      </c>
      <c r="T26" s="242"/>
      <c r="U26" s="243"/>
      <c r="V26" s="1008">
        <f>SUM(V8:V25)</f>
        <v>2647607462.2712793</v>
      </c>
      <c r="W26" s="244"/>
      <c r="X26" s="1008">
        <f>SUM(X8:X25)</f>
        <v>2647607462.2712793</v>
      </c>
      <c r="Y26" s="239">
        <f t="shared" ref="Y26:AB26" si="6">Y21+Y20+Y15+Y10+Y11</f>
        <v>0</v>
      </c>
      <c r="Z26" s="239">
        <f t="shared" si="6"/>
        <v>0</v>
      </c>
      <c r="AA26" s="239">
        <f t="shared" si="6"/>
        <v>0</v>
      </c>
      <c r="AB26" s="239">
        <f t="shared" si="6"/>
        <v>0</v>
      </c>
      <c r="AC26" s="1008">
        <f>SUM(AC8:AC25)</f>
        <v>639113520</v>
      </c>
      <c r="AD26" s="1008">
        <f t="shared" ref="AD26:AG26" si="7">SUM(AD8:AD25)</f>
        <v>382984839</v>
      </c>
      <c r="AE26" s="1008">
        <f t="shared" si="7"/>
        <v>0</v>
      </c>
      <c r="AF26" s="1008">
        <f t="shared" si="7"/>
        <v>0</v>
      </c>
      <c r="AG26" s="1008">
        <f t="shared" si="7"/>
        <v>1022098359</v>
      </c>
      <c r="AH26" s="1006">
        <f>+AG26/X26</f>
        <v>0.38604603347173738</v>
      </c>
      <c r="AI26" s="280"/>
      <c r="AJ26" s="280"/>
      <c r="AK26" s="280"/>
      <c r="AL26" s="280"/>
      <c r="AM26" s="280"/>
      <c r="AN26" s="280"/>
      <c r="AO26" s="280"/>
      <c r="AP26" s="280"/>
      <c r="AQ26" s="280"/>
      <c r="AR26" s="280"/>
      <c r="AS26" s="257"/>
    </row>
    <row r="27" spans="1:47" s="1" customFormat="1" ht="51.75" customHeight="1">
      <c r="A27" s="1010"/>
      <c r="B27" s="1010"/>
      <c r="C27" s="1010"/>
      <c r="D27" s="1010"/>
      <c r="E27" s="1010"/>
      <c r="F27" s="1010"/>
      <c r="G27" s="1010"/>
      <c r="H27" s="1010"/>
      <c r="I27" s="1010"/>
      <c r="J27" s="1010"/>
      <c r="K27" s="1010"/>
      <c r="L27" s="1010"/>
      <c r="M27" s="1010"/>
      <c r="N27" s="239">
        <v>100</v>
      </c>
      <c r="O27" s="239" t="s">
        <v>358</v>
      </c>
      <c r="P27" s="239">
        <v>100</v>
      </c>
      <c r="Q27" s="239">
        <v>100</v>
      </c>
      <c r="R27" s="239">
        <v>100</v>
      </c>
      <c r="S27" s="239">
        <v>100</v>
      </c>
      <c r="T27" s="242"/>
      <c r="U27" s="243"/>
      <c r="V27" s="1008"/>
      <c r="W27" s="244"/>
      <c r="X27" s="1008"/>
      <c r="Y27" s="327">
        <f>AVERAGE(Y25+Y24+Y23+Y19+Y18+Y17+Y16+Y14+Y13+Y12+Y9+Y8)</f>
        <v>0</v>
      </c>
      <c r="Z27" s="327">
        <f t="shared" ref="Z27:AB27" si="8">AVERAGE(Z25+Z24+Z23+Z19+Z18+Z17+Z16+Z14+Z13+Z12+Z9+Z8)</f>
        <v>0</v>
      </c>
      <c r="AA27" s="327">
        <f t="shared" si="8"/>
        <v>0</v>
      </c>
      <c r="AB27" s="327">
        <f t="shared" si="8"/>
        <v>0</v>
      </c>
      <c r="AC27" s="1008"/>
      <c r="AD27" s="1008"/>
      <c r="AE27" s="1008"/>
      <c r="AF27" s="1008"/>
      <c r="AG27" s="1008"/>
      <c r="AH27" s="1007"/>
      <c r="AI27" s="280"/>
      <c r="AJ27" s="280"/>
      <c r="AK27" s="280"/>
      <c r="AL27" s="280"/>
      <c r="AM27" s="280"/>
      <c r="AN27" s="280"/>
      <c r="AO27" s="280"/>
      <c r="AP27" s="280"/>
      <c r="AQ27" s="280"/>
      <c r="AR27" s="280"/>
      <c r="AS27" s="257"/>
    </row>
    <row r="28" spans="1:47" s="1" customFormat="1" ht="99.75" customHeight="1">
      <c r="A28" s="54"/>
      <c r="B28" s="54"/>
      <c r="C28" s="1011" t="s">
        <v>314</v>
      </c>
      <c r="D28" s="1011" t="s">
        <v>53</v>
      </c>
      <c r="E28" s="1011" t="s">
        <v>330</v>
      </c>
      <c r="F28" s="1011" t="s">
        <v>115</v>
      </c>
      <c r="G28" s="1011" t="s">
        <v>117</v>
      </c>
      <c r="H28" s="1011" t="s">
        <v>17</v>
      </c>
      <c r="I28" s="1014">
        <v>1</v>
      </c>
      <c r="J28" s="1014">
        <v>1</v>
      </c>
      <c r="K28" s="56"/>
      <c r="L28" s="54"/>
      <c r="M28" s="60" t="s">
        <v>489</v>
      </c>
      <c r="N28" s="54">
        <v>1</v>
      </c>
      <c r="O28" s="54" t="s">
        <v>17</v>
      </c>
      <c r="P28" s="54">
        <v>1</v>
      </c>
      <c r="Q28" s="54">
        <v>0</v>
      </c>
      <c r="R28" s="54">
        <v>0</v>
      </c>
      <c r="S28" s="54">
        <v>0</v>
      </c>
      <c r="T28" s="61"/>
      <c r="U28" s="57"/>
      <c r="V28" s="1015">
        <v>212064944.40000001</v>
      </c>
      <c r="W28" s="1012"/>
      <c r="X28" s="1015">
        <f>V28</f>
        <v>212064944.40000001</v>
      </c>
      <c r="Y28" s="287"/>
      <c r="Z28" s="287"/>
      <c r="AA28" s="287"/>
      <c r="AB28" s="287"/>
      <c r="AC28" s="287">
        <v>33043118</v>
      </c>
      <c r="AD28" s="287">
        <v>28147450</v>
      </c>
      <c r="AE28" s="287"/>
      <c r="AF28" s="287"/>
      <c r="AG28" s="287">
        <f t="shared" ref="AG28:AG46" si="9">+AC28+AD28+AE28+AF28</f>
        <v>61190568</v>
      </c>
      <c r="AH28" s="1006">
        <f>+(AG28+AG29)/X28</f>
        <v>0.57709272197842798</v>
      </c>
      <c r="AI28" s="287"/>
      <c r="AJ28" s="287"/>
      <c r="AK28" s="287"/>
      <c r="AL28" s="287"/>
      <c r="AM28" s="287"/>
      <c r="AN28" s="287"/>
      <c r="AO28" s="287"/>
      <c r="AP28" s="287"/>
      <c r="AQ28" s="287"/>
      <c r="AR28" s="287"/>
      <c r="AS28" s="257"/>
    </row>
    <row r="29" spans="1:47" s="1" customFormat="1" ht="108" customHeight="1">
      <c r="A29" s="1011" t="s">
        <v>222</v>
      </c>
      <c r="B29" s="1011" t="s">
        <v>165</v>
      </c>
      <c r="C29" s="1011"/>
      <c r="D29" s="1011"/>
      <c r="E29" s="1011"/>
      <c r="F29" s="1011"/>
      <c r="G29" s="1011"/>
      <c r="H29" s="1011"/>
      <c r="I29" s="1014"/>
      <c r="J29" s="1014"/>
      <c r="K29" s="56"/>
      <c r="L29" s="54" t="s">
        <v>120</v>
      </c>
      <c r="M29" s="60" t="s">
        <v>490</v>
      </c>
      <c r="N29" s="54">
        <v>1</v>
      </c>
      <c r="O29" s="54" t="s">
        <v>17</v>
      </c>
      <c r="P29" s="54">
        <v>1</v>
      </c>
      <c r="Q29" s="54">
        <v>0</v>
      </c>
      <c r="R29" s="54">
        <v>0</v>
      </c>
      <c r="S29" s="54">
        <v>0</v>
      </c>
      <c r="T29" s="54" t="s">
        <v>383</v>
      </c>
      <c r="U29" s="54"/>
      <c r="V29" s="1015"/>
      <c r="W29" s="1013"/>
      <c r="X29" s="1015"/>
      <c r="Y29" s="287"/>
      <c r="Z29" s="287"/>
      <c r="AA29" s="287"/>
      <c r="AB29" s="287"/>
      <c r="AC29" s="287">
        <v>33043118</v>
      </c>
      <c r="AD29" s="287">
        <v>28147450</v>
      </c>
      <c r="AE29" s="287"/>
      <c r="AF29" s="287"/>
      <c r="AG29" s="287">
        <f t="shared" si="9"/>
        <v>61190568</v>
      </c>
      <c r="AH29" s="1007"/>
      <c r="AI29" s="287"/>
      <c r="AJ29" s="287"/>
      <c r="AK29" s="287"/>
      <c r="AL29" s="287"/>
      <c r="AM29" s="287"/>
      <c r="AN29" s="287"/>
      <c r="AO29" s="287"/>
      <c r="AP29" s="287"/>
      <c r="AQ29" s="287" t="s">
        <v>24</v>
      </c>
      <c r="AR29" s="287" t="s">
        <v>24</v>
      </c>
      <c r="AS29" s="994" t="s">
        <v>339</v>
      </c>
    </row>
    <row r="30" spans="1:47" s="1" customFormat="1" ht="108" customHeight="1">
      <c r="A30" s="1011"/>
      <c r="B30" s="1011"/>
      <c r="C30" s="1011"/>
      <c r="D30" s="1011"/>
      <c r="E30" s="1011"/>
      <c r="F30" s="1011"/>
      <c r="G30" s="1011" t="s">
        <v>119</v>
      </c>
      <c r="H30" s="1011" t="s">
        <v>18</v>
      </c>
      <c r="I30" s="1014" t="s">
        <v>51</v>
      </c>
      <c r="J30" s="1014">
        <v>100</v>
      </c>
      <c r="K30" s="56"/>
      <c r="L30" s="54"/>
      <c r="M30" s="60" t="s">
        <v>491</v>
      </c>
      <c r="N30" s="54">
        <v>4</v>
      </c>
      <c r="O30" s="54" t="s">
        <v>17</v>
      </c>
      <c r="P30" s="54">
        <v>1</v>
      </c>
      <c r="Q30" s="54">
        <v>1</v>
      </c>
      <c r="R30" s="54">
        <v>1</v>
      </c>
      <c r="S30" s="54">
        <v>1</v>
      </c>
      <c r="T30" s="54"/>
      <c r="U30" s="54"/>
      <c r="V30" s="1015">
        <f>212064944.4+525623619-10388688</f>
        <v>727299875.39999998</v>
      </c>
      <c r="W30" s="58"/>
      <c r="X30" s="1015">
        <f>V30</f>
        <v>727299875.39999998</v>
      </c>
      <c r="Y30" s="287"/>
      <c r="Z30" s="287"/>
      <c r="AA30" s="287"/>
      <c r="AB30" s="287"/>
      <c r="AC30" s="287">
        <v>33043118</v>
      </c>
      <c r="AD30" s="287">
        <v>28147450</v>
      </c>
      <c r="AE30" s="287"/>
      <c r="AF30" s="287"/>
      <c r="AG30" s="287">
        <f t="shared" si="9"/>
        <v>61190568</v>
      </c>
      <c r="AH30" s="1006">
        <f>+(AG30+AG31)/X30</f>
        <v>0.16826778078669805</v>
      </c>
      <c r="AI30" s="287"/>
      <c r="AJ30" s="287"/>
      <c r="AK30" s="287"/>
      <c r="AL30" s="287"/>
      <c r="AM30" s="287"/>
      <c r="AN30" s="287"/>
      <c r="AO30" s="287"/>
      <c r="AP30" s="287"/>
      <c r="AQ30" s="287"/>
      <c r="AR30" s="287"/>
      <c r="AS30" s="995"/>
    </row>
    <row r="31" spans="1:47" s="1" customFormat="1" ht="108" customHeight="1">
      <c r="A31" s="1011"/>
      <c r="B31" s="1011"/>
      <c r="C31" s="1011"/>
      <c r="D31" s="1011"/>
      <c r="E31" s="1011"/>
      <c r="F31" s="1011"/>
      <c r="G31" s="1011"/>
      <c r="H31" s="1011"/>
      <c r="I31" s="1014"/>
      <c r="J31" s="1014"/>
      <c r="K31" s="56"/>
      <c r="L31" s="1011" t="s">
        <v>121</v>
      </c>
      <c r="M31" s="60" t="s">
        <v>492</v>
      </c>
      <c r="N31" s="54">
        <v>100</v>
      </c>
      <c r="O31" s="322" t="s">
        <v>358</v>
      </c>
      <c r="P31" s="54">
        <v>25</v>
      </c>
      <c r="Q31" s="54">
        <v>25</v>
      </c>
      <c r="R31" s="54">
        <v>25</v>
      </c>
      <c r="S31" s="54">
        <v>25</v>
      </c>
      <c r="T31" s="54" t="s">
        <v>388</v>
      </c>
      <c r="U31" s="57"/>
      <c r="V31" s="1015"/>
      <c r="W31" s="58"/>
      <c r="X31" s="1015"/>
      <c r="Y31" s="287"/>
      <c r="Z31" s="287"/>
      <c r="AA31" s="287"/>
      <c r="AB31" s="287"/>
      <c r="AC31" s="287">
        <v>33043118</v>
      </c>
      <c r="AD31" s="287">
        <v>28147450</v>
      </c>
      <c r="AE31" s="287"/>
      <c r="AF31" s="287"/>
      <c r="AG31" s="287">
        <f t="shared" si="9"/>
        <v>61190568</v>
      </c>
      <c r="AH31" s="1007"/>
      <c r="AI31" s="287"/>
      <c r="AJ31" s="287"/>
      <c r="AK31" s="287"/>
      <c r="AL31" s="287"/>
      <c r="AM31" s="287"/>
      <c r="AN31" s="287"/>
      <c r="AO31" s="287"/>
      <c r="AP31" s="287"/>
      <c r="AQ31" s="287" t="s">
        <v>24</v>
      </c>
      <c r="AR31" s="287" t="s">
        <v>24</v>
      </c>
      <c r="AS31" s="995"/>
    </row>
    <row r="32" spans="1:47" s="1" customFormat="1" ht="108" customHeight="1">
      <c r="A32" s="1011"/>
      <c r="B32" s="1011"/>
      <c r="C32" s="1011"/>
      <c r="D32" s="1011"/>
      <c r="E32" s="1011"/>
      <c r="F32" s="1011"/>
      <c r="G32" s="1011"/>
      <c r="H32" s="1011"/>
      <c r="I32" s="1014"/>
      <c r="J32" s="1014"/>
      <c r="K32" s="56"/>
      <c r="L32" s="1011"/>
      <c r="M32" s="60" t="s">
        <v>499</v>
      </c>
      <c r="N32" s="54">
        <v>100</v>
      </c>
      <c r="O32" s="322" t="s">
        <v>358</v>
      </c>
      <c r="P32" s="54">
        <v>25</v>
      </c>
      <c r="Q32" s="54">
        <v>25</v>
      </c>
      <c r="R32" s="54">
        <v>25</v>
      </c>
      <c r="S32" s="54">
        <v>25</v>
      </c>
      <c r="T32" s="54" t="s">
        <v>350</v>
      </c>
      <c r="U32" s="54"/>
      <c r="V32" s="58">
        <f>27783000+1271595752+480000000+960000000+840000000+7350000+25252500+31500000</f>
        <v>3643481252</v>
      </c>
      <c r="W32" s="58"/>
      <c r="X32" s="58">
        <f>+V32+W32</f>
        <v>3643481252</v>
      </c>
      <c r="Y32" s="287"/>
      <c r="Z32" s="287"/>
      <c r="AA32" s="287"/>
      <c r="AB32" s="287"/>
      <c r="AC32" s="287">
        <f>80999967+86454979+379579286+254708340+7637248</f>
        <v>809379820</v>
      </c>
      <c r="AD32" s="287">
        <v>937758158</v>
      </c>
      <c r="AE32" s="287"/>
      <c r="AF32" s="287"/>
      <c r="AG32" s="287">
        <f t="shared" si="9"/>
        <v>1747137978</v>
      </c>
      <c r="AH32" s="376">
        <f t="shared" ref="AH32:AH45" si="10">+AG32/X32</f>
        <v>0.47952434969740859</v>
      </c>
      <c r="AI32" s="287"/>
      <c r="AJ32" s="287"/>
      <c r="AK32" s="287"/>
      <c r="AL32" s="287"/>
      <c r="AM32" s="287"/>
      <c r="AN32" s="287"/>
      <c r="AO32" s="287"/>
      <c r="AP32" s="287"/>
      <c r="AQ32" s="287"/>
      <c r="AR32" s="287"/>
      <c r="AS32" s="995"/>
    </row>
    <row r="33" spans="1:46" s="1" customFormat="1" ht="108" customHeight="1">
      <c r="A33" s="1011"/>
      <c r="B33" s="1011"/>
      <c r="C33" s="1011"/>
      <c r="D33" s="1011"/>
      <c r="E33" s="1011"/>
      <c r="F33" s="1011"/>
      <c r="G33" s="1011"/>
      <c r="H33" s="1011"/>
      <c r="I33" s="1014"/>
      <c r="J33" s="1014"/>
      <c r="K33" s="56"/>
      <c r="L33" s="1011"/>
      <c r="M33" s="60" t="s">
        <v>389</v>
      </c>
      <c r="N33" s="54">
        <v>100</v>
      </c>
      <c r="O33" s="322" t="s">
        <v>358</v>
      </c>
      <c r="P33" s="54">
        <v>25</v>
      </c>
      <c r="Q33" s="54">
        <v>25</v>
      </c>
      <c r="R33" s="54">
        <v>25</v>
      </c>
      <c r="S33" s="54">
        <v>25</v>
      </c>
      <c r="T33" s="54" t="s">
        <v>378</v>
      </c>
      <c r="U33" s="57"/>
      <c r="V33" s="58">
        <v>1000000000</v>
      </c>
      <c r="W33" s="58">
        <v>0</v>
      </c>
      <c r="X33" s="58">
        <f t="shared" ref="X33:X35" si="11">+V33+W33</f>
        <v>1000000000</v>
      </c>
      <c r="Y33" s="287"/>
      <c r="Z33" s="287"/>
      <c r="AA33" s="287"/>
      <c r="AB33" s="287"/>
      <c r="AC33" s="287">
        <v>171792429</v>
      </c>
      <c r="AD33" s="287">
        <v>288402460</v>
      </c>
      <c r="AE33" s="287"/>
      <c r="AF33" s="287"/>
      <c r="AG33" s="287">
        <f t="shared" si="9"/>
        <v>460194889</v>
      </c>
      <c r="AH33" s="376">
        <f t="shared" si="10"/>
        <v>0.460194889</v>
      </c>
      <c r="AI33" s="287"/>
      <c r="AJ33" s="287"/>
      <c r="AK33" s="287"/>
      <c r="AL33" s="287"/>
      <c r="AM33" s="287"/>
      <c r="AN33" s="287"/>
      <c r="AO33" s="287"/>
      <c r="AP33" s="287"/>
      <c r="AQ33" s="287" t="s">
        <v>24</v>
      </c>
      <c r="AR33" s="287" t="s">
        <v>24</v>
      </c>
      <c r="AS33" s="995"/>
      <c r="AT33" s="178"/>
    </row>
    <row r="34" spans="1:46" s="1" customFormat="1" ht="108" customHeight="1">
      <c r="A34" s="1011"/>
      <c r="B34" s="1011"/>
      <c r="C34" s="1011"/>
      <c r="D34" s="1011"/>
      <c r="E34" s="1011"/>
      <c r="F34" s="1011"/>
      <c r="G34" s="1011"/>
      <c r="H34" s="1011"/>
      <c r="I34" s="1014"/>
      <c r="J34" s="1014"/>
      <c r="K34" s="56"/>
      <c r="L34" s="1011"/>
      <c r="M34" s="196" t="s">
        <v>390</v>
      </c>
      <c r="N34" s="54">
        <v>100</v>
      </c>
      <c r="O34" s="322" t="s">
        <v>358</v>
      </c>
      <c r="P34" s="54">
        <v>25</v>
      </c>
      <c r="Q34" s="54">
        <v>25</v>
      </c>
      <c r="R34" s="54">
        <v>25</v>
      </c>
      <c r="S34" s="54">
        <v>25</v>
      </c>
      <c r="T34" s="54">
        <v>1010100</v>
      </c>
      <c r="U34" s="57"/>
      <c r="V34" s="58">
        <v>2026187055</v>
      </c>
      <c r="W34" s="58">
        <v>9703337</v>
      </c>
      <c r="X34" s="58">
        <f t="shared" si="11"/>
        <v>2035890392</v>
      </c>
      <c r="Y34" s="287"/>
      <c r="Z34" s="287"/>
      <c r="AA34" s="287"/>
      <c r="AB34" s="287"/>
      <c r="AC34" s="287">
        <v>362811432</v>
      </c>
      <c r="AD34" s="287">
        <v>398889410</v>
      </c>
      <c r="AE34" s="287"/>
      <c r="AF34" s="287"/>
      <c r="AG34" s="287">
        <f t="shared" si="9"/>
        <v>761700842</v>
      </c>
      <c r="AH34" s="376">
        <f t="shared" si="10"/>
        <v>0.37413646873775314</v>
      </c>
      <c r="AI34" s="287"/>
      <c r="AJ34" s="287"/>
      <c r="AK34" s="287"/>
      <c r="AL34" s="287"/>
      <c r="AM34" s="287"/>
      <c r="AN34" s="287"/>
      <c r="AO34" s="287"/>
      <c r="AP34" s="287"/>
      <c r="AQ34" s="287" t="s">
        <v>24</v>
      </c>
      <c r="AR34" s="287" t="s">
        <v>24</v>
      </c>
      <c r="AS34" s="995"/>
      <c r="AT34" s="178"/>
    </row>
    <row r="35" spans="1:46" s="1" customFormat="1" ht="108" customHeight="1">
      <c r="A35" s="1011"/>
      <c r="B35" s="1011"/>
      <c r="C35" s="1011"/>
      <c r="D35" s="1011"/>
      <c r="E35" s="1011"/>
      <c r="F35" s="1011"/>
      <c r="G35" s="55" t="s">
        <v>118</v>
      </c>
      <c r="H35" s="55" t="s">
        <v>18</v>
      </c>
      <c r="I35" s="59" t="s">
        <v>51</v>
      </c>
      <c r="J35" s="59">
        <v>100</v>
      </c>
      <c r="K35" s="56"/>
      <c r="L35" s="1011"/>
      <c r="M35" s="60" t="s">
        <v>493</v>
      </c>
      <c r="N35" s="54">
        <v>100</v>
      </c>
      <c r="O35" s="322" t="s">
        <v>358</v>
      </c>
      <c r="P35" s="54">
        <v>15</v>
      </c>
      <c r="Q35" s="54">
        <v>25</v>
      </c>
      <c r="R35" s="54">
        <v>25</v>
      </c>
      <c r="S35" s="54">
        <v>35</v>
      </c>
      <c r="T35" s="54" t="s">
        <v>351</v>
      </c>
      <c r="U35" s="57"/>
      <c r="V35" s="58">
        <f>3000000000+25000000+56700000-48000000-48000000-342300000-67515148.8-164049600-1101853184.19-332238404.887192</f>
        <v>977743662.12280774</v>
      </c>
      <c r="W35" s="58"/>
      <c r="X35" s="58">
        <f t="shared" si="11"/>
        <v>977743662.12280774</v>
      </c>
      <c r="Y35" s="287"/>
      <c r="Z35" s="287"/>
      <c r="AA35" s="287"/>
      <c r="AB35" s="287"/>
      <c r="AC35" s="287">
        <f>26099150+13049575+51480000</f>
        <v>90628725</v>
      </c>
      <c r="AD35" s="287">
        <f>26099150+13049575+51480000</f>
        <v>90628725</v>
      </c>
      <c r="AE35" s="287"/>
      <c r="AF35" s="287"/>
      <c r="AG35" s="287">
        <f t="shared" si="9"/>
        <v>181257450</v>
      </c>
      <c r="AH35" s="376">
        <f t="shared" si="10"/>
        <v>0.1853834057144044</v>
      </c>
      <c r="AI35" s="287"/>
      <c r="AJ35" s="287"/>
      <c r="AK35" s="287"/>
      <c r="AL35" s="287"/>
      <c r="AM35" s="287"/>
      <c r="AN35" s="287"/>
      <c r="AO35" s="287"/>
      <c r="AP35" s="287"/>
      <c r="AQ35" s="287" t="s">
        <v>24</v>
      </c>
      <c r="AR35" s="287" t="s">
        <v>24</v>
      </c>
      <c r="AS35" s="995"/>
      <c r="AT35" s="178"/>
    </row>
    <row r="36" spans="1:46" s="1" customFormat="1" ht="108" customHeight="1">
      <c r="A36" s="1011"/>
      <c r="B36" s="1011"/>
      <c r="C36" s="1011"/>
      <c r="D36" s="1011"/>
      <c r="E36" s="1011"/>
      <c r="F36" s="1011"/>
      <c r="G36" s="1011" t="s">
        <v>116</v>
      </c>
      <c r="H36" s="1011" t="s">
        <v>17</v>
      </c>
      <c r="I36" s="1014">
        <v>1</v>
      </c>
      <c r="J36" s="1014">
        <v>1</v>
      </c>
      <c r="K36" s="56"/>
      <c r="L36" s="1011"/>
      <c r="M36" s="60" t="s">
        <v>494</v>
      </c>
      <c r="N36" s="54">
        <v>1</v>
      </c>
      <c r="O36" s="54" t="s">
        <v>19</v>
      </c>
      <c r="P36" s="54">
        <v>1</v>
      </c>
      <c r="Q36" s="54">
        <v>0</v>
      </c>
      <c r="R36" s="54">
        <v>0</v>
      </c>
      <c r="S36" s="54">
        <v>0</v>
      </c>
      <c r="T36" s="54"/>
      <c r="U36" s="57"/>
      <c r="V36" s="58"/>
      <c r="W36" s="58"/>
      <c r="X36" s="58"/>
      <c r="Y36" s="287"/>
      <c r="Z36" s="287"/>
      <c r="AA36" s="287"/>
      <c r="AB36" s="287"/>
      <c r="AC36" s="287"/>
      <c r="AD36" s="287"/>
      <c r="AE36" s="287"/>
      <c r="AF36" s="287"/>
      <c r="AG36" s="287">
        <f t="shared" si="9"/>
        <v>0</v>
      </c>
      <c r="AH36" s="376" t="e">
        <f t="shared" si="10"/>
        <v>#DIV/0!</v>
      </c>
      <c r="AI36" s="287"/>
      <c r="AJ36" s="287"/>
      <c r="AK36" s="287"/>
      <c r="AL36" s="287"/>
      <c r="AM36" s="287"/>
      <c r="AN36" s="287"/>
      <c r="AO36" s="287"/>
      <c r="AP36" s="287"/>
      <c r="AQ36" s="287"/>
      <c r="AR36" s="287"/>
      <c r="AS36" s="995"/>
      <c r="AT36" s="178"/>
    </row>
    <row r="37" spans="1:46" s="1" customFormat="1" ht="99" customHeight="1">
      <c r="A37" s="1011"/>
      <c r="B37" s="1011"/>
      <c r="C37" s="1011"/>
      <c r="D37" s="1011"/>
      <c r="E37" s="1011"/>
      <c r="F37" s="1011"/>
      <c r="G37" s="1011"/>
      <c r="H37" s="1011"/>
      <c r="I37" s="1014"/>
      <c r="J37" s="1014"/>
      <c r="K37" s="56"/>
      <c r="L37" s="1011"/>
      <c r="M37" s="60" t="s">
        <v>495</v>
      </c>
      <c r="N37" s="54">
        <v>100</v>
      </c>
      <c r="O37" s="322" t="s">
        <v>358</v>
      </c>
      <c r="P37" s="54">
        <v>25</v>
      </c>
      <c r="Q37" s="54">
        <v>25</v>
      </c>
      <c r="R37" s="54">
        <v>25</v>
      </c>
      <c r="S37" s="54">
        <v>25</v>
      </c>
      <c r="T37" s="54" t="s">
        <v>349</v>
      </c>
      <c r="U37" s="57"/>
      <c r="V37" s="58">
        <v>733790080</v>
      </c>
      <c r="W37" s="58"/>
      <c r="X37" s="58">
        <f t="shared" ref="X37:X45" si="12">V37</f>
        <v>733790080</v>
      </c>
      <c r="Y37" s="287"/>
      <c r="Z37" s="287"/>
      <c r="AA37" s="287"/>
      <c r="AB37" s="287"/>
      <c r="AC37" s="287">
        <v>161451931</v>
      </c>
      <c r="AD37" s="287">
        <v>89406829</v>
      </c>
      <c r="AE37" s="287"/>
      <c r="AF37" s="287"/>
      <c r="AG37" s="287">
        <f t="shared" si="9"/>
        <v>250858760</v>
      </c>
      <c r="AH37" s="376">
        <f t="shared" si="10"/>
        <v>0.34186719994906445</v>
      </c>
      <c r="AI37" s="287"/>
      <c r="AJ37" s="287"/>
      <c r="AK37" s="287"/>
      <c r="AL37" s="287"/>
      <c r="AM37" s="287"/>
      <c r="AN37" s="287"/>
      <c r="AO37" s="287"/>
      <c r="AP37" s="287"/>
      <c r="AQ37" s="287" t="s">
        <v>24</v>
      </c>
      <c r="AR37" s="287" t="s">
        <v>24</v>
      </c>
      <c r="AS37" s="995"/>
    </row>
    <row r="38" spans="1:46" s="1" customFormat="1" ht="99" customHeight="1">
      <c r="A38" s="1011"/>
      <c r="B38" s="1011"/>
      <c r="C38" s="795" t="s">
        <v>113</v>
      </c>
      <c r="D38" s="795" t="s">
        <v>53</v>
      </c>
      <c r="E38" s="795">
        <v>84</v>
      </c>
      <c r="F38" s="795" t="s">
        <v>122</v>
      </c>
      <c r="G38" s="795" t="s">
        <v>123</v>
      </c>
      <c r="H38" s="1011" t="s">
        <v>18</v>
      </c>
      <c r="I38" s="1014">
        <v>84</v>
      </c>
      <c r="J38" s="1014">
        <v>84</v>
      </c>
      <c r="K38" s="1014"/>
      <c r="L38" s="1011" t="s">
        <v>124</v>
      </c>
      <c r="M38" s="65" t="s">
        <v>484</v>
      </c>
      <c r="N38" s="54">
        <v>2</v>
      </c>
      <c r="O38" s="54" t="s">
        <v>17</v>
      </c>
      <c r="P38" s="54">
        <v>0</v>
      </c>
      <c r="Q38" s="54">
        <v>1</v>
      </c>
      <c r="R38" s="54">
        <v>0</v>
      </c>
      <c r="S38" s="54">
        <v>1</v>
      </c>
      <c r="T38" s="54"/>
      <c r="U38" s="57"/>
      <c r="V38" s="58"/>
      <c r="W38" s="58"/>
      <c r="X38" s="58"/>
      <c r="Y38" s="287"/>
      <c r="Z38" s="287"/>
      <c r="AA38" s="287"/>
      <c r="AB38" s="287"/>
      <c r="AC38" s="287"/>
      <c r="AD38" s="287"/>
      <c r="AE38" s="287"/>
      <c r="AF38" s="287"/>
      <c r="AG38" s="287">
        <f t="shared" si="9"/>
        <v>0</v>
      </c>
      <c r="AH38" s="376" t="e">
        <f t="shared" si="10"/>
        <v>#DIV/0!</v>
      </c>
      <c r="AI38" s="287"/>
      <c r="AJ38" s="287"/>
      <c r="AK38" s="287"/>
      <c r="AL38" s="287"/>
      <c r="AM38" s="287"/>
      <c r="AN38" s="287"/>
      <c r="AO38" s="287"/>
      <c r="AP38" s="287"/>
      <c r="AQ38" s="287"/>
      <c r="AR38" s="287"/>
      <c r="AS38" s="995"/>
    </row>
    <row r="39" spans="1:46" s="1" customFormat="1" ht="99" customHeight="1">
      <c r="A39" s="1011"/>
      <c r="B39" s="1011"/>
      <c r="C39" s="800"/>
      <c r="D39" s="800"/>
      <c r="E39" s="800"/>
      <c r="F39" s="800"/>
      <c r="G39" s="800"/>
      <c r="H39" s="1011"/>
      <c r="I39" s="1014"/>
      <c r="J39" s="1014"/>
      <c r="K39" s="1014"/>
      <c r="L39" s="1011"/>
      <c r="M39" s="60" t="s">
        <v>485</v>
      </c>
      <c r="N39" s="54">
        <v>12</v>
      </c>
      <c r="O39" s="54" t="s">
        <v>17</v>
      </c>
      <c r="P39" s="54">
        <v>3</v>
      </c>
      <c r="Q39" s="54">
        <v>3</v>
      </c>
      <c r="R39" s="54">
        <v>3</v>
      </c>
      <c r="S39" s="54">
        <v>3</v>
      </c>
      <c r="T39" s="61">
        <v>4100100</v>
      </c>
      <c r="U39" s="57"/>
      <c r="V39" s="58">
        <v>8108027598</v>
      </c>
      <c r="W39" s="58">
        <f>9339523835-300000000+1059374699</f>
        <v>10098898534</v>
      </c>
      <c r="X39" s="58">
        <f>+V39+W39</f>
        <v>18206926132</v>
      </c>
      <c r="Y39" s="287"/>
      <c r="Z39" s="287"/>
      <c r="AA39" s="287"/>
      <c r="AB39" s="287"/>
      <c r="AC39" s="287">
        <v>9793078908</v>
      </c>
      <c r="AD39" s="287">
        <v>2841552484</v>
      </c>
      <c r="AE39" s="287"/>
      <c r="AF39" s="287"/>
      <c r="AG39" s="287">
        <f t="shared" si="9"/>
        <v>12634631392</v>
      </c>
      <c r="AH39" s="376">
        <f t="shared" si="10"/>
        <v>0.69394643007826096</v>
      </c>
      <c r="AI39" s="287"/>
      <c r="AJ39" s="287"/>
      <c r="AK39" s="287"/>
      <c r="AL39" s="287"/>
      <c r="AM39" s="287"/>
      <c r="AN39" s="287"/>
      <c r="AO39" s="287"/>
      <c r="AP39" s="287"/>
      <c r="AQ39" s="287"/>
      <c r="AR39" s="287"/>
      <c r="AS39" s="995"/>
    </row>
    <row r="40" spans="1:46" s="1" customFormat="1" ht="99" customHeight="1">
      <c r="A40" s="1011"/>
      <c r="B40" s="1011"/>
      <c r="C40" s="800"/>
      <c r="D40" s="800"/>
      <c r="E40" s="800"/>
      <c r="F40" s="800"/>
      <c r="G40" s="800"/>
      <c r="H40" s="1011"/>
      <c r="I40" s="1014"/>
      <c r="J40" s="1014"/>
      <c r="K40" s="1014"/>
      <c r="L40" s="1011"/>
      <c r="M40" s="60" t="s">
        <v>486</v>
      </c>
      <c r="N40" s="54">
        <v>12</v>
      </c>
      <c r="O40" s="54" t="s">
        <v>452</v>
      </c>
      <c r="P40" s="54">
        <v>3</v>
      </c>
      <c r="Q40" s="54">
        <v>3</v>
      </c>
      <c r="R40" s="54">
        <v>3</v>
      </c>
      <c r="S40" s="54">
        <v>3</v>
      </c>
      <c r="T40" s="54"/>
      <c r="U40" s="57"/>
      <c r="V40" s="58"/>
      <c r="W40" s="58"/>
      <c r="X40" s="58"/>
      <c r="Y40" s="287"/>
      <c r="Z40" s="287"/>
      <c r="AA40" s="287"/>
      <c r="AB40" s="287"/>
      <c r="AC40" s="287"/>
      <c r="AD40" s="287"/>
      <c r="AE40" s="287"/>
      <c r="AF40" s="287"/>
      <c r="AG40" s="287">
        <f t="shared" si="9"/>
        <v>0</v>
      </c>
      <c r="AH40" s="376" t="e">
        <f t="shared" si="10"/>
        <v>#DIV/0!</v>
      </c>
      <c r="AI40" s="287"/>
      <c r="AJ40" s="287"/>
      <c r="AK40" s="287"/>
      <c r="AL40" s="287"/>
      <c r="AM40" s="287"/>
      <c r="AN40" s="287"/>
      <c r="AO40" s="287"/>
      <c r="AP40" s="287"/>
      <c r="AQ40" s="287"/>
      <c r="AR40" s="287"/>
      <c r="AS40" s="995"/>
    </row>
    <row r="41" spans="1:46" s="1" customFormat="1" ht="99" customHeight="1">
      <c r="A41" s="1011"/>
      <c r="B41" s="1011"/>
      <c r="C41" s="800"/>
      <c r="D41" s="800"/>
      <c r="E41" s="800"/>
      <c r="F41" s="800"/>
      <c r="G41" s="800"/>
      <c r="H41" s="1011"/>
      <c r="I41" s="1014"/>
      <c r="J41" s="1014"/>
      <c r="K41" s="1014"/>
      <c r="L41" s="1011"/>
      <c r="M41" s="60" t="s">
        <v>488</v>
      </c>
      <c r="N41" s="54">
        <v>1</v>
      </c>
      <c r="O41" s="54" t="s">
        <v>452</v>
      </c>
      <c r="P41" s="54">
        <v>0</v>
      </c>
      <c r="Q41" s="54">
        <v>0</v>
      </c>
      <c r="R41" s="54">
        <v>0</v>
      </c>
      <c r="S41" s="54">
        <v>1</v>
      </c>
      <c r="T41" s="54"/>
      <c r="U41" s="57"/>
      <c r="V41" s="58"/>
      <c r="W41" s="58"/>
      <c r="X41" s="58"/>
      <c r="Y41" s="287"/>
      <c r="Z41" s="287"/>
      <c r="AA41" s="287"/>
      <c r="AB41" s="287"/>
      <c r="AC41" s="287"/>
      <c r="AD41" s="287"/>
      <c r="AE41" s="287"/>
      <c r="AF41" s="287"/>
      <c r="AG41" s="287">
        <f t="shared" si="9"/>
        <v>0</v>
      </c>
      <c r="AH41" s="376" t="e">
        <f t="shared" si="10"/>
        <v>#DIV/0!</v>
      </c>
      <c r="AI41" s="287"/>
      <c r="AJ41" s="287"/>
      <c r="AK41" s="287"/>
      <c r="AL41" s="287"/>
      <c r="AM41" s="287"/>
      <c r="AN41" s="287"/>
      <c r="AO41" s="287"/>
      <c r="AP41" s="287"/>
      <c r="AQ41" s="287"/>
      <c r="AR41" s="287"/>
      <c r="AS41" s="995"/>
    </row>
    <row r="42" spans="1:46" s="1" customFormat="1" ht="126.75" customHeight="1">
      <c r="A42" s="1011"/>
      <c r="B42" s="1011"/>
      <c r="C42" s="800"/>
      <c r="D42" s="800"/>
      <c r="E42" s="800"/>
      <c r="F42" s="800"/>
      <c r="G42" s="800"/>
      <c r="H42" s="1011"/>
      <c r="I42" s="1014"/>
      <c r="J42" s="1014"/>
      <c r="K42" s="1014"/>
      <c r="L42" s="1011"/>
      <c r="M42" s="60" t="s">
        <v>487</v>
      </c>
      <c r="N42" s="54">
        <v>12</v>
      </c>
      <c r="O42" s="54" t="s">
        <v>452</v>
      </c>
      <c r="P42" s="54">
        <v>3</v>
      </c>
      <c r="Q42" s="54">
        <v>3</v>
      </c>
      <c r="R42" s="54">
        <v>3</v>
      </c>
      <c r="S42" s="54">
        <v>3</v>
      </c>
      <c r="T42" s="61"/>
      <c r="U42" s="57"/>
      <c r="V42" s="58"/>
      <c r="W42" s="58"/>
      <c r="X42" s="58"/>
      <c r="Y42" s="287"/>
      <c r="Z42" s="287"/>
      <c r="AA42" s="287"/>
      <c r="AB42" s="287"/>
      <c r="AC42" s="287"/>
      <c r="AD42" s="287"/>
      <c r="AE42" s="287"/>
      <c r="AF42" s="287"/>
      <c r="AG42" s="287">
        <f t="shared" si="9"/>
        <v>0</v>
      </c>
      <c r="AH42" s="376" t="e">
        <f t="shared" si="10"/>
        <v>#DIV/0!</v>
      </c>
      <c r="AI42" s="287"/>
      <c r="AJ42" s="287"/>
      <c r="AK42" s="287"/>
      <c r="AL42" s="287"/>
      <c r="AM42" s="287"/>
      <c r="AN42" s="287"/>
      <c r="AO42" s="287"/>
      <c r="AP42" s="287"/>
      <c r="AQ42" s="287" t="s">
        <v>24</v>
      </c>
      <c r="AR42" s="287" t="s">
        <v>24</v>
      </c>
      <c r="AS42" s="995"/>
      <c r="AT42" s="1" t="s">
        <v>348</v>
      </c>
    </row>
    <row r="43" spans="1:46" s="1" customFormat="1" ht="126.75" customHeight="1">
      <c r="A43" s="1011"/>
      <c r="B43" s="1011"/>
      <c r="C43" s="798"/>
      <c r="D43" s="798"/>
      <c r="E43" s="798"/>
      <c r="F43" s="798"/>
      <c r="G43" s="798"/>
      <c r="H43" s="54"/>
      <c r="I43" s="59"/>
      <c r="J43" s="59"/>
      <c r="K43" s="59"/>
      <c r="L43" s="54"/>
      <c r="M43" s="60" t="s">
        <v>687</v>
      </c>
      <c r="N43" s="54">
        <v>4</v>
      </c>
      <c r="O43" s="54" t="s">
        <v>452</v>
      </c>
      <c r="P43" s="54">
        <v>1</v>
      </c>
      <c r="Q43" s="54">
        <v>1</v>
      </c>
      <c r="R43" s="54">
        <v>1</v>
      </c>
      <c r="S43" s="54">
        <v>1</v>
      </c>
      <c r="T43" s="61">
        <v>4199999</v>
      </c>
      <c r="U43" s="57"/>
      <c r="V43" s="58">
        <v>3000000000</v>
      </c>
      <c r="W43" s="58">
        <v>0</v>
      </c>
      <c r="X43" s="58">
        <f>+V43+W43</f>
        <v>3000000000</v>
      </c>
      <c r="Y43" s="287"/>
      <c r="Z43" s="287"/>
      <c r="AA43" s="287"/>
      <c r="AB43" s="287"/>
      <c r="AC43" s="287">
        <v>1889855684</v>
      </c>
      <c r="AD43" s="287">
        <v>61890509</v>
      </c>
      <c r="AE43" s="287"/>
      <c r="AF43" s="287"/>
      <c r="AG43" s="287">
        <f t="shared" si="9"/>
        <v>1951746193</v>
      </c>
      <c r="AH43" s="376">
        <f t="shared" si="10"/>
        <v>0.65058206433333332</v>
      </c>
      <c r="AI43" s="287"/>
      <c r="AJ43" s="287"/>
      <c r="AK43" s="287"/>
      <c r="AL43" s="287"/>
      <c r="AM43" s="287"/>
      <c r="AN43" s="287"/>
      <c r="AO43" s="287"/>
      <c r="AP43" s="287"/>
      <c r="AQ43" s="287"/>
      <c r="AR43" s="287"/>
      <c r="AS43" s="995"/>
    </row>
    <row r="44" spans="1:46" s="1" customFormat="1" ht="84" customHeight="1">
      <c r="A44" s="1011"/>
      <c r="B44" s="1011"/>
      <c r="C44" s="1011" t="s">
        <v>114</v>
      </c>
      <c r="D44" s="1011" t="s">
        <v>53</v>
      </c>
      <c r="E44" s="1011">
        <v>80</v>
      </c>
      <c r="F44" s="1011" t="s">
        <v>125</v>
      </c>
      <c r="G44" s="55" t="s">
        <v>126</v>
      </c>
      <c r="H44" s="55" t="s">
        <v>18</v>
      </c>
      <c r="I44" s="59">
        <v>0</v>
      </c>
      <c r="J44" s="59">
        <v>100</v>
      </c>
      <c r="K44" s="56"/>
      <c r="L44" s="1011" t="s">
        <v>128</v>
      </c>
      <c r="M44" s="65" t="s">
        <v>496</v>
      </c>
      <c r="N44" s="54">
        <v>100</v>
      </c>
      <c r="O44" s="322" t="s">
        <v>358</v>
      </c>
      <c r="P44" s="54">
        <v>25</v>
      </c>
      <c r="Q44" s="54">
        <v>25</v>
      </c>
      <c r="R44" s="54">
        <v>25</v>
      </c>
      <c r="S44" s="54">
        <v>25</v>
      </c>
      <c r="T44" s="61">
        <v>3100003</v>
      </c>
      <c r="U44" s="57"/>
      <c r="V44" s="58">
        <v>160000000</v>
      </c>
      <c r="W44" s="58"/>
      <c r="X44" s="58">
        <f t="shared" si="12"/>
        <v>160000000</v>
      </c>
      <c r="Y44" s="287"/>
      <c r="Z44" s="287"/>
      <c r="AA44" s="287"/>
      <c r="AB44" s="287"/>
      <c r="AC44" s="287">
        <v>50965145</v>
      </c>
      <c r="AD44" s="287">
        <v>35430708</v>
      </c>
      <c r="AE44" s="287"/>
      <c r="AF44" s="287"/>
      <c r="AG44" s="287">
        <f t="shared" si="9"/>
        <v>86395853</v>
      </c>
      <c r="AH44" s="376">
        <f t="shared" si="10"/>
        <v>0.53997408125000002</v>
      </c>
      <c r="AI44" s="287"/>
      <c r="AJ44" s="287"/>
      <c r="AK44" s="287"/>
      <c r="AL44" s="287"/>
      <c r="AM44" s="287"/>
      <c r="AN44" s="287"/>
      <c r="AO44" s="287"/>
      <c r="AP44" s="287"/>
      <c r="AQ44" s="287" t="s">
        <v>24</v>
      </c>
      <c r="AR44" s="287" t="s">
        <v>24</v>
      </c>
      <c r="AS44" s="995"/>
    </row>
    <row r="45" spans="1:46" s="1" customFormat="1" ht="89.25" customHeight="1">
      <c r="A45" s="1011"/>
      <c r="B45" s="1011"/>
      <c r="C45" s="1011"/>
      <c r="D45" s="1011"/>
      <c r="E45" s="1011"/>
      <c r="F45" s="1011"/>
      <c r="G45" s="55" t="s">
        <v>127</v>
      </c>
      <c r="H45" s="55" t="s">
        <v>18</v>
      </c>
      <c r="I45" s="59">
        <v>100</v>
      </c>
      <c r="J45" s="59">
        <v>100</v>
      </c>
      <c r="K45" s="56"/>
      <c r="L45" s="1011"/>
      <c r="M45" s="65" t="s">
        <v>497</v>
      </c>
      <c r="N45" s="54">
        <v>100</v>
      </c>
      <c r="O45" s="322" t="s">
        <v>358</v>
      </c>
      <c r="P45" s="54">
        <v>25</v>
      </c>
      <c r="Q45" s="54">
        <v>25</v>
      </c>
      <c r="R45" s="54">
        <v>25</v>
      </c>
      <c r="S45" s="54">
        <v>25</v>
      </c>
      <c r="T45" s="54"/>
      <c r="U45" s="57"/>
      <c r="V45" s="58">
        <v>0</v>
      </c>
      <c r="W45" s="58"/>
      <c r="X45" s="58">
        <f t="shared" si="12"/>
        <v>0</v>
      </c>
      <c r="Y45" s="287"/>
      <c r="Z45" s="287"/>
      <c r="AA45" s="287"/>
      <c r="AB45" s="287"/>
      <c r="AC45" s="287">
        <v>0</v>
      </c>
      <c r="AD45" s="287"/>
      <c r="AE45" s="287"/>
      <c r="AF45" s="287"/>
      <c r="AG45" s="287">
        <f t="shared" si="9"/>
        <v>0</v>
      </c>
      <c r="AH45" s="376" t="e">
        <f t="shared" si="10"/>
        <v>#DIV/0!</v>
      </c>
      <c r="AI45" s="287"/>
      <c r="AJ45" s="287"/>
      <c r="AK45" s="287"/>
      <c r="AL45" s="287"/>
      <c r="AM45" s="287"/>
      <c r="AN45" s="287"/>
      <c r="AO45" s="287"/>
      <c r="AP45" s="287"/>
      <c r="AQ45" s="287" t="s">
        <v>24</v>
      </c>
      <c r="AR45" s="287" t="s">
        <v>24</v>
      </c>
      <c r="AS45" s="995"/>
    </row>
    <row r="46" spans="1:46" s="1" customFormat="1" ht="95.25" customHeight="1">
      <c r="A46" s="1011"/>
      <c r="B46" s="1011"/>
      <c r="C46" s="1011"/>
      <c r="D46" s="1011"/>
      <c r="E46" s="1011"/>
      <c r="F46" s="795" t="s">
        <v>129</v>
      </c>
      <c r="G46" s="795" t="s">
        <v>130</v>
      </c>
      <c r="H46" s="55" t="s">
        <v>18</v>
      </c>
      <c r="I46" s="59" t="s">
        <v>51</v>
      </c>
      <c r="J46" s="59">
        <v>100</v>
      </c>
      <c r="K46" s="56"/>
      <c r="L46" s="59" t="s">
        <v>131</v>
      </c>
      <c r="M46" s="60" t="s">
        <v>498</v>
      </c>
      <c r="N46" s="54">
        <v>4</v>
      </c>
      <c r="O46" s="54" t="s">
        <v>452</v>
      </c>
      <c r="P46" s="54">
        <v>1</v>
      </c>
      <c r="Q46" s="54">
        <v>1</v>
      </c>
      <c r="R46" s="54">
        <v>1</v>
      </c>
      <c r="S46" s="54">
        <v>1</v>
      </c>
      <c r="T46" s="54" t="s">
        <v>23</v>
      </c>
      <c r="U46" s="57"/>
      <c r="V46" s="58">
        <f>24000000+40000000</f>
        <v>64000000</v>
      </c>
      <c r="W46" s="58">
        <f>4000000+28000000+20000000</f>
        <v>52000000</v>
      </c>
      <c r="X46" s="58">
        <f>+V46+W46</f>
        <v>116000000</v>
      </c>
      <c r="Y46" s="287"/>
      <c r="Z46" s="287"/>
      <c r="AA46" s="287"/>
      <c r="AB46" s="287"/>
      <c r="AC46" s="287">
        <f>14000000+12000000</f>
        <v>26000000</v>
      </c>
      <c r="AD46" s="287">
        <f>21000000+16000000</f>
        <v>37000000</v>
      </c>
      <c r="AE46" s="287"/>
      <c r="AF46" s="287"/>
      <c r="AG46" s="287">
        <f t="shared" si="9"/>
        <v>63000000</v>
      </c>
      <c r="AH46" s="376">
        <f>+AG46/X46</f>
        <v>0.5431034482758621</v>
      </c>
      <c r="AI46" s="287"/>
      <c r="AJ46" s="287"/>
      <c r="AK46" s="287"/>
      <c r="AL46" s="287"/>
      <c r="AM46" s="287"/>
      <c r="AN46" s="287"/>
      <c r="AO46" s="287"/>
      <c r="AP46" s="287"/>
      <c r="AQ46" s="287" t="s">
        <v>24</v>
      </c>
      <c r="AR46" s="287" t="s">
        <v>24</v>
      </c>
      <c r="AS46" s="996"/>
    </row>
    <row r="47" spans="1:46" s="1" customFormat="1" ht="95.25" customHeight="1">
      <c r="A47" s="54"/>
      <c r="B47" s="54"/>
      <c r="C47" s="54"/>
      <c r="D47" s="54"/>
      <c r="E47" s="54"/>
      <c r="F47" s="798"/>
      <c r="G47" s="798"/>
      <c r="H47" s="55"/>
      <c r="I47" s="59"/>
      <c r="J47" s="59"/>
      <c r="K47" s="56"/>
      <c r="L47" s="59"/>
      <c r="M47" s="60" t="s">
        <v>688</v>
      </c>
      <c r="N47" s="54"/>
      <c r="O47" s="54"/>
      <c r="P47" s="54"/>
      <c r="Q47" s="54"/>
      <c r="R47" s="54"/>
      <c r="S47" s="54"/>
      <c r="T47" s="54"/>
      <c r="U47" s="57"/>
      <c r="V47" s="58"/>
      <c r="W47" s="58">
        <f>10796312394+4756073241+287826328</f>
        <v>15840211963</v>
      </c>
      <c r="X47" s="58">
        <f>+V47+W47</f>
        <v>15840211963</v>
      </c>
      <c r="Y47" s="287"/>
      <c r="Z47" s="287"/>
      <c r="AA47" s="287"/>
      <c r="AB47" s="287"/>
      <c r="AC47" s="287">
        <v>5489542635</v>
      </c>
      <c r="AD47" s="287">
        <v>5489542636</v>
      </c>
      <c r="AE47" s="287"/>
      <c r="AF47" s="287"/>
      <c r="AG47" s="287"/>
      <c r="AH47" s="376"/>
      <c r="AI47" s="287"/>
      <c r="AJ47" s="287"/>
      <c r="AK47" s="287"/>
      <c r="AL47" s="287"/>
      <c r="AM47" s="287"/>
      <c r="AN47" s="287"/>
      <c r="AO47" s="287"/>
      <c r="AP47" s="287"/>
      <c r="AQ47" s="287"/>
      <c r="AR47" s="287"/>
      <c r="AS47" s="254"/>
    </row>
    <row r="48" spans="1:46" s="1" customFormat="1" ht="95.25" customHeight="1">
      <c r="A48" s="54"/>
      <c r="B48" s="54"/>
      <c r="C48" s="54"/>
      <c r="D48" s="54"/>
      <c r="E48" s="54"/>
      <c r="F48" s="378"/>
      <c r="G48" s="378"/>
      <c r="H48" s="55"/>
      <c r="I48" s="59"/>
      <c r="J48" s="59"/>
      <c r="K48" s="56"/>
      <c r="L48" s="59"/>
      <c r="M48" s="60"/>
      <c r="N48" s="54"/>
      <c r="O48" s="54"/>
      <c r="P48" s="54"/>
      <c r="Q48" s="54"/>
      <c r="R48" s="54"/>
      <c r="S48" s="54"/>
      <c r="T48" s="54"/>
      <c r="U48" s="57"/>
      <c r="V48" s="58"/>
      <c r="W48" s="58"/>
      <c r="X48" s="58"/>
      <c r="Y48" s="287"/>
      <c r="Z48" s="287"/>
      <c r="AA48" s="287"/>
      <c r="AB48" s="287"/>
      <c r="AC48" s="287"/>
      <c r="AD48" s="287"/>
      <c r="AE48" s="287"/>
      <c r="AF48" s="287"/>
      <c r="AG48" s="287"/>
      <c r="AH48" s="376"/>
      <c r="AI48" s="287"/>
      <c r="AJ48" s="287"/>
      <c r="AK48" s="287"/>
      <c r="AL48" s="287"/>
      <c r="AM48" s="287"/>
      <c r="AN48" s="287"/>
      <c r="AO48" s="287"/>
      <c r="AP48" s="287"/>
      <c r="AQ48" s="287"/>
      <c r="AR48" s="287"/>
      <c r="AS48" s="254"/>
    </row>
    <row r="49" spans="1:44" s="1" customFormat="1" ht="39" customHeight="1">
      <c r="A49" s="1010" t="s">
        <v>607</v>
      </c>
      <c r="B49" s="1010"/>
      <c r="C49" s="1010"/>
      <c r="D49" s="1010"/>
      <c r="E49" s="1010"/>
      <c r="F49" s="1010"/>
      <c r="G49" s="1010"/>
      <c r="H49" s="1010"/>
      <c r="I49" s="1010"/>
      <c r="J49" s="1010"/>
      <c r="K49" s="1010"/>
      <c r="L49" s="1010"/>
      <c r="M49" s="1010"/>
      <c r="N49" s="239">
        <f>N46+N42+N41+N40+N39+N38+N36+N30+N29+N28</f>
        <v>50</v>
      </c>
      <c r="O49" s="239" t="s">
        <v>17</v>
      </c>
      <c r="P49" s="239">
        <f>P46+P42+P41+P40+P39+P38+P36+P30+P29+P28</f>
        <v>14</v>
      </c>
      <c r="Q49" s="239">
        <f>Q46+Q42+Q41+Q40+Q39+Q38+Q36+Q30+Q29+Q28</f>
        <v>12</v>
      </c>
      <c r="R49" s="239">
        <f>R46+R42+R41+R40+R39+R38+R36+R30+R29+R28</f>
        <v>11</v>
      </c>
      <c r="S49" s="239">
        <f>S46+S42+S41+S40+S39+S38+S36+S30+S29+S28</f>
        <v>13</v>
      </c>
      <c r="T49" s="242"/>
      <c r="U49" s="243"/>
      <c r="V49" s="1008">
        <f>SUM(V28:V46)</f>
        <v>20652594466.922806</v>
      </c>
      <c r="W49" s="1008">
        <f>SUM(W28:W47)</f>
        <v>26000813834</v>
      </c>
      <c r="X49" s="1008">
        <f>SUM(X28:X47)</f>
        <v>46653408300.922806</v>
      </c>
      <c r="Y49" s="326">
        <f>Y46+Y42+Y41+Y40+Y39+Y36+Y30+Y29+Y28</f>
        <v>0</v>
      </c>
      <c r="Z49" s="326">
        <f>Z46+Z42+Z41+Z40+Z39+Z36+Z30+Z29+Z28</f>
        <v>0</v>
      </c>
      <c r="AA49" s="326">
        <f>AA46+AA42+AA41+AA40+AA39+AA36+AA30+AA29+AA28</f>
        <v>0</v>
      </c>
      <c r="AB49" s="326">
        <f>AB46+AB42+AB41+AB40+AB39+AB36+AB30+AB29+AB28</f>
        <v>0</v>
      </c>
      <c r="AC49" s="1008">
        <f>SUM(AC28:AC47)</f>
        <v>18977679181</v>
      </c>
      <c r="AD49" s="1008">
        <f>SUM(AD28:AD47)</f>
        <v>10383091719</v>
      </c>
      <c r="AE49" s="1008">
        <f>SUM(AE28:AE46)</f>
        <v>0</v>
      </c>
      <c r="AF49" s="1008">
        <f>SUM(AF28:AF46)</f>
        <v>0</v>
      </c>
      <c r="AG49" s="1008">
        <f>SUM(AG28:AG46)</f>
        <v>18381685629</v>
      </c>
      <c r="AH49" s="1009">
        <f>+AG49/X49</f>
        <v>0.39400520344483403</v>
      </c>
      <c r="AI49" s="280"/>
      <c r="AJ49" s="280"/>
      <c r="AK49" s="280"/>
      <c r="AL49" s="280"/>
      <c r="AM49" s="280"/>
      <c r="AN49" s="280"/>
      <c r="AO49" s="280"/>
      <c r="AP49" s="280"/>
      <c r="AQ49" s="280"/>
      <c r="AR49" s="280"/>
    </row>
    <row r="50" spans="1:44" s="1" customFormat="1" ht="19.5" customHeight="1">
      <c r="A50" s="1010"/>
      <c r="B50" s="1010"/>
      <c r="C50" s="1010"/>
      <c r="D50" s="1010"/>
      <c r="E50" s="1010"/>
      <c r="F50" s="1010"/>
      <c r="G50" s="1010"/>
      <c r="H50" s="1010"/>
      <c r="I50" s="1010"/>
      <c r="J50" s="1010"/>
      <c r="K50" s="1010"/>
      <c r="L50" s="1010"/>
      <c r="M50" s="1010"/>
      <c r="N50" s="239">
        <v>100</v>
      </c>
      <c r="O50" s="239" t="s">
        <v>18</v>
      </c>
      <c r="P50" s="239">
        <f>P49+P44+P42+P41+P40+P39+P37+P31+P30+P29</f>
        <v>100</v>
      </c>
      <c r="Q50" s="239">
        <v>100</v>
      </c>
      <c r="R50" s="239">
        <v>100</v>
      </c>
      <c r="S50" s="239">
        <v>100</v>
      </c>
      <c r="T50" s="242"/>
      <c r="U50" s="243"/>
      <c r="V50" s="1008"/>
      <c r="W50" s="1008"/>
      <c r="X50" s="1008"/>
      <c r="Y50" s="327">
        <f>AVERAGE(Y45+Y44+Y37+Y35+Y34+Y33+Y32+Y31)</f>
        <v>0</v>
      </c>
      <c r="Z50" s="327">
        <f>AVERAGE(Z45+Z44+Z37+Z35+Z34+Z33+Z32+Z31)</f>
        <v>0</v>
      </c>
      <c r="AA50" s="327">
        <f>AVERAGE(AA45+AA44+AA37+AA35+AA34+AA33+AA32+AA31)</f>
        <v>0</v>
      </c>
      <c r="AB50" s="327">
        <f>AVERAGE(AB45+AB44+AB37+AB35+AB34+AB33+AB32+AB31)</f>
        <v>0</v>
      </c>
      <c r="AC50" s="1008"/>
      <c r="AD50" s="1008"/>
      <c r="AE50" s="1008"/>
      <c r="AF50" s="1008"/>
      <c r="AG50" s="1008"/>
      <c r="AH50" s="1009"/>
      <c r="AI50" s="280"/>
      <c r="AJ50" s="280"/>
      <c r="AK50" s="280"/>
      <c r="AL50" s="280"/>
      <c r="AM50" s="280"/>
      <c r="AN50" s="280"/>
      <c r="AO50" s="280"/>
      <c r="AP50" s="280"/>
      <c r="AQ50" s="280"/>
      <c r="AR50" s="280"/>
    </row>
    <row r="51" spans="1:44" s="1" customFormat="1">
      <c r="A51" s="3"/>
      <c r="B51" s="3"/>
      <c r="C51" s="3"/>
      <c r="D51" s="3"/>
      <c r="E51" s="3"/>
      <c r="F51" s="3"/>
      <c r="G51" s="3"/>
      <c r="H51" s="3"/>
      <c r="M51" s="5"/>
      <c r="N51" s="3"/>
      <c r="O51" s="3"/>
      <c r="P51" s="3"/>
      <c r="Q51" s="3"/>
      <c r="R51" s="3"/>
      <c r="S51" s="3"/>
      <c r="T51" s="3">
        <v>59707696938</v>
      </c>
      <c r="U51" s="3"/>
      <c r="V51" s="7"/>
      <c r="W51" s="7"/>
      <c r="X51" s="11" t="e">
        <f>#REF!-#REF!</f>
        <v>#REF!</v>
      </c>
      <c r="Y51" s="11"/>
      <c r="Z51" s="11"/>
      <c r="AA51" s="11"/>
      <c r="AB51" s="11"/>
      <c r="AC51" s="11"/>
      <c r="AD51" s="11"/>
      <c r="AE51" s="11"/>
      <c r="AF51" s="11"/>
      <c r="AG51" s="11"/>
      <c r="AH51" s="11"/>
      <c r="AI51" s="11"/>
      <c r="AJ51" s="11"/>
      <c r="AK51" s="11"/>
      <c r="AL51" s="11"/>
      <c r="AM51" s="11"/>
      <c r="AN51" s="11"/>
      <c r="AO51" s="11"/>
      <c r="AP51" s="11"/>
      <c r="AQ51" s="3"/>
      <c r="AR51" s="3"/>
    </row>
    <row r="52" spans="1:44" s="1" customFormat="1">
      <c r="A52" s="3"/>
      <c r="B52" s="3"/>
      <c r="C52" s="3"/>
      <c r="D52" s="3"/>
      <c r="E52" s="3"/>
      <c r="J52" s="5"/>
      <c r="K52" s="3"/>
      <c r="L52" s="3"/>
      <c r="M52" s="3"/>
      <c r="N52" s="3"/>
      <c r="O52" s="3"/>
      <c r="P52" s="3"/>
      <c r="Q52" s="3"/>
      <c r="R52" s="3"/>
      <c r="S52" s="3"/>
      <c r="T52" s="3">
        <f>+T50-T51</f>
        <v>-59707696938</v>
      </c>
      <c r="U52" s="3"/>
      <c r="V52" s="7"/>
      <c r="W52" s="7"/>
      <c r="X52" s="7"/>
      <c r="Y52" s="7"/>
      <c r="Z52" s="7"/>
      <c r="AA52" s="7"/>
      <c r="AB52" s="7"/>
      <c r="AC52" s="7"/>
      <c r="AD52" s="7"/>
      <c r="AE52" s="7"/>
      <c r="AF52" s="7"/>
      <c r="AG52" s="7"/>
      <c r="AH52" s="7"/>
      <c r="AI52" s="7"/>
      <c r="AJ52" s="7"/>
      <c r="AK52" s="7"/>
      <c r="AL52" s="7"/>
      <c r="AM52" s="7"/>
      <c r="AN52" s="7"/>
      <c r="AO52" s="7"/>
      <c r="AP52" s="7"/>
      <c r="AQ52" s="3"/>
      <c r="AR52" s="3"/>
    </row>
    <row r="53" spans="1:44" s="1" customFormat="1" ht="15" customHeight="1">
      <c r="A53" s="3"/>
      <c r="B53" s="3"/>
      <c r="C53" s="3"/>
      <c r="D53" s="3"/>
      <c r="E53" s="3"/>
      <c r="F53" s="3"/>
      <c r="G53" s="3"/>
      <c r="H53" s="3"/>
      <c r="M53" s="5"/>
      <c r="N53" s="3"/>
      <c r="O53" s="3"/>
      <c r="P53" s="7"/>
      <c r="Q53" s="7"/>
      <c r="R53" s="7"/>
      <c r="S53" s="7"/>
      <c r="T53" s="7"/>
      <c r="U53" s="7"/>
      <c r="V53" s="7"/>
      <c r="W53" s="7"/>
      <c r="X53" s="7"/>
      <c r="Y53" s="7"/>
      <c r="Z53" s="7"/>
      <c r="AA53" s="7"/>
      <c r="AB53" s="7"/>
      <c r="AC53" s="7"/>
      <c r="AD53" s="7"/>
      <c r="AE53" s="3"/>
      <c r="AF53" s="3"/>
    </row>
    <row r="54" spans="1:44" s="1" customFormat="1" ht="15">
      <c r="A54" s="987" t="s">
        <v>601</v>
      </c>
      <c r="B54" s="987"/>
      <c r="C54" s="987"/>
      <c r="D54" s="987"/>
      <c r="E54" s="987"/>
      <c r="F54" s="987"/>
      <c r="G54" s="987"/>
      <c r="H54" s="987"/>
      <c r="I54" s="987"/>
      <c r="J54" s="987"/>
      <c r="K54" s="987"/>
      <c r="L54" s="987"/>
      <c r="M54" s="987"/>
      <c r="N54" s="987"/>
      <c r="O54" s="987"/>
      <c r="P54" s="7"/>
      <c r="Q54" s="7"/>
      <c r="R54" s="7"/>
      <c r="S54" s="7"/>
      <c r="T54" s="7"/>
      <c r="U54" s="7"/>
      <c r="V54" s="7"/>
      <c r="W54" s="7"/>
      <c r="X54" s="7"/>
      <c r="Y54" s="7"/>
      <c r="Z54" s="7"/>
      <c r="AA54" s="7"/>
      <c r="AB54" s="7"/>
      <c r="AC54" s="7"/>
      <c r="AD54" s="7"/>
      <c r="AE54" s="3"/>
      <c r="AF54" s="3"/>
    </row>
    <row r="55" spans="1:44" s="1" customFormat="1" ht="90">
      <c r="A55" s="269" t="s">
        <v>598</v>
      </c>
      <c r="B55" s="270" t="s">
        <v>587</v>
      </c>
      <c r="C55" s="270" t="s">
        <v>588</v>
      </c>
      <c r="D55" s="270" t="s">
        <v>589</v>
      </c>
      <c r="E55" s="270" t="s">
        <v>590</v>
      </c>
      <c r="F55" s="270" t="s">
        <v>589</v>
      </c>
      <c r="G55" s="270" t="s">
        <v>591</v>
      </c>
      <c r="H55" s="270" t="s">
        <v>589</v>
      </c>
      <c r="I55" s="270"/>
      <c r="J55" s="271"/>
      <c r="K55" s="271"/>
      <c r="L55" s="271"/>
      <c r="M55" s="270" t="s">
        <v>589</v>
      </c>
      <c r="N55" s="270" t="s">
        <v>592</v>
      </c>
      <c r="O55" s="270" t="s">
        <v>589</v>
      </c>
      <c r="P55" s="7"/>
      <c r="Q55" s="7"/>
      <c r="R55" s="7"/>
      <c r="S55" s="7"/>
      <c r="T55" s="7"/>
      <c r="U55" s="7"/>
      <c r="V55" s="7"/>
      <c r="W55" s="7"/>
      <c r="X55" s="7"/>
      <c r="Y55" s="7"/>
      <c r="Z55" s="7"/>
      <c r="AA55" s="7"/>
      <c r="AB55" s="7"/>
      <c r="AC55" s="7"/>
      <c r="AD55" s="7"/>
      <c r="AE55" s="3"/>
      <c r="AF55" s="3"/>
    </row>
    <row r="56" spans="1:44" s="1" customFormat="1">
      <c r="A56" s="259" t="s">
        <v>599</v>
      </c>
      <c r="B56" s="259">
        <f>N26</f>
        <v>324</v>
      </c>
      <c r="C56" s="259">
        <f>Y26</f>
        <v>0</v>
      </c>
      <c r="D56" s="266">
        <f>B56*C56/100</f>
        <v>0</v>
      </c>
      <c r="E56" s="259">
        <f>Z26</f>
        <v>0</v>
      </c>
      <c r="F56" s="266">
        <f>B56*E56/100</f>
        <v>0</v>
      </c>
      <c r="G56" s="259">
        <f>AA26</f>
        <v>0</v>
      </c>
      <c r="H56" s="259"/>
      <c r="I56" s="260"/>
      <c r="J56" s="260"/>
      <c r="K56" s="260"/>
      <c r="L56" s="260"/>
      <c r="M56" s="266">
        <f>B56*G56/100</f>
        <v>0</v>
      </c>
      <c r="N56" s="259">
        <f>AB26</f>
        <v>0</v>
      </c>
      <c r="O56" s="266">
        <f>B56*N56/100</f>
        <v>0</v>
      </c>
      <c r="P56" s="7"/>
      <c r="Q56" s="7"/>
      <c r="R56" s="7"/>
      <c r="S56" s="7"/>
      <c r="T56" s="7"/>
      <c r="U56" s="7"/>
      <c r="V56" s="7"/>
      <c r="W56" s="7"/>
      <c r="X56" s="7"/>
      <c r="Y56" s="7"/>
      <c r="Z56" s="7"/>
      <c r="AA56" s="7"/>
      <c r="AB56" s="7"/>
      <c r="AC56" s="7"/>
      <c r="AD56" s="7"/>
      <c r="AE56" s="3"/>
      <c r="AF56" s="3"/>
    </row>
    <row r="57" spans="1:44" s="1" customFormat="1" ht="23.25">
      <c r="A57" s="259" t="s">
        <v>18</v>
      </c>
      <c r="B57" s="266">
        <v>1</v>
      </c>
      <c r="C57" s="266">
        <f>Y27</f>
        <v>0</v>
      </c>
      <c r="D57" s="266">
        <f>B57*C57/100</f>
        <v>0</v>
      </c>
      <c r="E57" s="266">
        <f>Z27</f>
        <v>0</v>
      </c>
      <c r="F57" s="266">
        <f>B57*E57/100</f>
        <v>0</v>
      </c>
      <c r="G57" s="266">
        <f>AA27</f>
        <v>0</v>
      </c>
      <c r="H57" s="259"/>
      <c r="I57" s="260"/>
      <c r="J57" s="260"/>
      <c r="K57" s="260"/>
      <c r="L57" s="260"/>
      <c r="M57" s="266">
        <f>B57*G57/100</f>
        <v>0</v>
      </c>
      <c r="N57" s="266">
        <f>AB27</f>
        <v>0</v>
      </c>
      <c r="O57" s="266">
        <f>B57*N57/100</f>
        <v>0</v>
      </c>
      <c r="P57" s="245"/>
      <c r="Q57" s="245"/>
      <c r="R57" s="245"/>
      <c r="S57" s="245"/>
      <c r="T57" s="245"/>
      <c r="U57" s="245"/>
      <c r="V57" s="245"/>
      <c r="W57" s="245"/>
      <c r="X57" s="245"/>
      <c r="Y57" s="245"/>
      <c r="Z57" s="245"/>
      <c r="AA57" s="245"/>
      <c r="AB57" s="245"/>
      <c r="AC57" s="245"/>
      <c r="AD57" s="245"/>
      <c r="AE57" s="13" t="e">
        <f>K57-#REF!</f>
        <v>#REF!</v>
      </c>
      <c r="AF57" s="3"/>
    </row>
    <row r="58" spans="1:44" s="1" customFormat="1" ht="15" customHeight="1">
      <c r="A58" s="3"/>
      <c r="B58" s="3"/>
      <c r="C58" s="3"/>
      <c r="D58" s="3"/>
      <c r="E58" s="3"/>
      <c r="F58" s="3"/>
      <c r="G58" s="3"/>
      <c r="H58" s="3"/>
      <c r="M58" s="5"/>
      <c r="N58" s="3"/>
      <c r="O58" s="3"/>
      <c r="P58" s="7"/>
      <c r="Q58" s="7"/>
      <c r="R58" s="7"/>
      <c r="S58" s="7"/>
      <c r="T58" s="7"/>
      <c r="U58" s="7"/>
      <c r="V58" s="7"/>
      <c r="W58" s="7"/>
      <c r="X58" s="7"/>
      <c r="Y58" s="7"/>
      <c r="Z58" s="7"/>
      <c r="AA58" s="7"/>
      <c r="AB58" s="7"/>
      <c r="AC58" s="7"/>
      <c r="AD58" s="7"/>
      <c r="AE58" s="3"/>
      <c r="AF58" s="3"/>
    </row>
    <row r="59" spans="1:44" s="1" customFormat="1" ht="15">
      <c r="A59" s="988" t="s">
        <v>602</v>
      </c>
      <c r="B59" s="988"/>
      <c r="C59" s="988"/>
      <c r="D59" s="988"/>
      <c r="E59" s="988"/>
      <c r="F59" s="988"/>
      <c r="G59" s="988"/>
      <c r="H59" s="988"/>
      <c r="I59" s="988"/>
      <c r="J59" s="988"/>
      <c r="K59" s="988"/>
      <c r="L59" s="988"/>
      <c r="M59" s="988"/>
      <c r="N59" s="988"/>
      <c r="O59" s="3"/>
      <c r="P59" s="7"/>
      <c r="Q59" s="7"/>
      <c r="R59" s="7"/>
      <c r="S59" s="7"/>
      <c r="T59" s="7"/>
      <c r="U59" s="7"/>
      <c r="V59" s="7"/>
      <c r="W59" s="7"/>
      <c r="X59" s="7"/>
      <c r="Y59" s="7"/>
      <c r="Z59" s="7"/>
      <c r="AA59" s="7"/>
      <c r="AB59" s="7"/>
      <c r="AC59" s="7"/>
      <c r="AD59" s="7"/>
      <c r="AE59" s="3"/>
      <c r="AF59" s="3"/>
    </row>
    <row r="60" spans="1:44" s="1" customFormat="1" ht="45">
      <c r="A60" s="267" t="s">
        <v>593</v>
      </c>
      <c r="B60" s="267" t="s">
        <v>594</v>
      </c>
      <c r="C60" s="267" t="s">
        <v>589</v>
      </c>
      <c r="D60" s="267" t="s">
        <v>595</v>
      </c>
      <c r="E60" s="267" t="s">
        <v>589</v>
      </c>
      <c r="F60" s="267" t="s">
        <v>596</v>
      </c>
      <c r="G60" s="267" t="s">
        <v>589</v>
      </c>
      <c r="H60" s="267"/>
      <c r="I60" s="268"/>
      <c r="J60" s="268"/>
      <c r="K60" s="268"/>
      <c r="L60" s="268"/>
      <c r="M60" s="267" t="s">
        <v>597</v>
      </c>
      <c r="N60" s="267" t="s">
        <v>589</v>
      </c>
      <c r="O60" s="3"/>
      <c r="P60" s="7"/>
      <c r="Q60" s="7"/>
      <c r="R60" s="7"/>
      <c r="S60" s="7"/>
      <c r="T60" s="7"/>
      <c r="U60" s="7"/>
      <c r="V60" s="7"/>
      <c r="W60" s="7"/>
      <c r="X60" s="7"/>
      <c r="Y60" s="7"/>
      <c r="Z60" s="7"/>
      <c r="AA60" s="7"/>
      <c r="AB60" s="7"/>
      <c r="AC60" s="7"/>
      <c r="AD60" s="7"/>
      <c r="AE60" s="3"/>
      <c r="AF60" s="3"/>
    </row>
    <row r="61" spans="1:44" s="1" customFormat="1">
      <c r="A61" s="263">
        <f>X26</f>
        <v>2647607462.2712793</v>
      </c>
      <c r="B61" s="263">
        <f>AC26</f>
        <v>639113520</v>
      </c>
      <c r="C61" s="266">
        <f>A61*B61/100</f>
        <v>1.6921217247904646E+16</v>
      </c>
      <c r="D61" s="263">
        <f>AD26</f>
        <v>382984839</v>
      </c>
      <c r="E61" s="266">
        <f>A61*D61/100</f>
        <v>1.0139935176731646E+16</v>
      </c>
      <c r="F61" s="263">
        <f>AE26</f>
        <v>0</v>
      </c>
      <c r="G61" s="266">
        <f>A61*F61/100</f>
        <v>0</v>
      </c>
      <c r="H61" s="259"/>
      <c r="I61" s="260"/>
      <c r="J61" s="260"/>
      <c r="K61" s="260"/>
      <c r="L61" s="260"/>
      <c r="M61" s="275">
        <f>AF26</f>
        <v>0</v>
      </c>
      <c r="N61" s="266">
        <f>A61*M61/100</f>
        <v>0</v>
      </c>
      <c r="O61" s="3"/>
      <c r="P61" s="7"/>
      <c r="Q61" s="7"/>
      <c r="R61" s="7"/>
      <c r="S61" s="7"/>
      <c r="T61" s="7"/>
      <c r="U61" s="7"/>
      <c r="V61" s="7"/>
      <c r="W61" s="7"/>
      <c r="X61" s="7"/>
      <c r="Y61" s="7"/>
      <c r="Z61" s="7"/>
      <c r="AA61" s="7"/>
      <c r="AB61" s="7"/>
      <c r="AC61" s="7"/>
      <c r="AD61" s="7"/>
      <c r="AE61" s="3"/>
      <c r="AF61" s="3"/>
    </row>
    <row r="62" spans="1:44" s="1" customFormat="1">
      <c r="A62" s="259"/>
      <c r="B62" s="259"/>
      <c r="C62" s="259"/>
      <c r="D62" s="259"/>
      <c r="E62" s="259"/>
      <c r="F62" s="259"/>
      <c r="G62" s="259"/>
      <c r="H62" s="259"/>
      <c r="I62" s="260"/>
      <c r="J62" s="260"/>
      <c r="K62" s="260"/>
      <c r="L62" s="260"/>
      <c r="M62" s="261"/>
      <c r="N62" s="259"/>
      <c r="O62" s="3"/>
      <c r="P62" s="7"/>
      <c r="Q62" s="7"/>
      <c r="R62" s="7"/>
      <c r="S62" s="7"/>
      <c r="T62" s="7"/>
      <c r="U62" s="7"/>
      <c r="V62" s="7"/>
      <c r="W62" s="7"/>
      <c r="X62" s="7"/>
      <c r="Y62" s="7"/>
      <c r="Z62" s="7"/>
      <c r="AA62" s="7"/>
      <c r="AB62" s="7"/>
      <c r="AC62" s="7"/>
      <c r="AD62" s="7"/>
      <c r="AE62" s="3"/>
      <c r="AF62" s="3"/>
    </row>
    <row r="63" spans="1:44" s="1" customFormat="1" ht="15" customHeight="1">
      <c r="A63" s="3"/>
      <c r="B63" s="3"/>
      <c r="C63" s="3"/>
      <c r="D63" s="3"/>
      <c r="E63" s="3"/>
      <c r="F63" s="3"/>
      <c r="G63" s="3"/>
      <c r="H63" s="3"/>
      <c r="M63" s="5"/>
      <c r="N63" s="3"/>
      <c r="O63" s="3"/>
      <c r="P63" s="7"/>
      <c r="Q63" s="7"/>
      <c r="R63" s="7"/>
      <c r="S63" s="7"/>
      <c r="T63" s="7"/>
      <c r="U63" s="7"/>
      <c r="V63" s="7"/>
      <c r="W63" s="7"/>
      <c r="X63" s="7"/>
      <c r="Y63" s="7"/>
      <c r="Z63" s="7"/>
      <c r="AA63" s="7"/>
      <c r="AB63" s="7"/>
      <c r="AC63" s="7"/>
      <c r="AD63" s="7"/>
      <c r="AE63" s="3"/>
      <c r="AF63" s="3"/>
    </row>
    <row r="64" spans="1:44" s="1" customFormat="1" ht="15">
      <c r="A64" s="987" t="s">
        <v>603</v>
      </c>
      <c r="B64" s="987"/>
      <c r="C64" s="987"/>
      <c r="D64" s="987"/>
      <c r="E64" s="987"/>
      <c r="F64" s="987"/>
      <c r="G64" s="987"/>
      <c r="H64" s="987"/>
      <c r="I64" s="987"/>
      <c r="J64" s="987"/>
      <c r="K64" s="987"/>
      <c r="L64" s="987"/>
      <c r="M64" s="987"/>
      <c r="N64" s="987"/>
      <c r="O64" s="987"/>
      <c r="P64" s="7"/>
      <c r="Q64" s="7"/>
      <c r="R64" s="7"/>
      <c r="S64" s="7"/>
      <c r="T64" s="7"/>
      <c r="U64" s="7"/>
      <c r="V64" s="7"/>
      <c r="W64" s="7"/>
      <c r="X64" s="7"/>
      <c r="Y64" s="7"/>
      <c r="Z64" s="7"/>
      <c r="AA64" s="7"/>
      <c r="AB64" s="7"/>
      <c r="AC64" s="7"/>
      <c r="AD64" s="7"/>
      <c r="AE64" s="3"/>
      <c r="AF64" s="3"/>
    </row>
    <row r="65" spans="1:44" s="1" customFormat="1" ht="90">
      <c r="A65" s="269" t="s">
        <v>598</v>
      </c>
      <c r="B65" s="270" t="s">
        <v>587</v>
      </c>
      <c r="C65" s="270" t="s">
        <v>588</v>
      </c>
      <c r="D65" s="270" t="s">
        <v>589</v>
      </c>
      <c r="E65" s="270" t="s">
        <v>590</v>
      </c>
      <c r="F65" s="270" t="s">
        <v>589</v>
      </c>
      <c r="G65" s="270" t="s">
        <v>591</v>
      </c>
      <c r="H65" s="270" t="s">
        <v>589</v>
      </c>
      <c r="I65" s="270"/>
      <c r="J65" s="271"/>
      <c r="K65" s="271"/>
      <c r="L65" s="271"/>
      <c r="M65" s="270" t="s">
        <v>589</v>
      </c>
      <c r="N65" s="270" t="s">
        <v>592</v>
      </c>
      <c r="O65" s="270" t="s">
        <v>589</v>
      </c>
      <c r="P65" s="7"/>
      <c r="Q65" s="7"/>
      <c r="R65" s="7"/>
      <c r="S65" s="7"/>
      <c r="T65" s="7"/>
      <c r="U65" s="7"/>
      <c r="V65" s="7"/>
      <c r="W65" s="7"/>
      <c r="X65" s="7"/>
      <c r="Y65" s="7"/>
      <c r="Z65" s="7"/>
      <c r="AA65" s="7"/>
      <c r="AB65" s="7"/>
      <c r="AC65" s="7"/>
      <c r="AD65" s="7"/>
      <c r="AE65" s="3"/>
      <c r="AF65" s="3"/>
    </row>
    <row r="66" spans="1:44" s="1" customFormat="1">
      <c r="A66" s="259" t="s">
        <v>599</v>
      </c>
      <c r="B66" s="259">
        <f>N49</f>
        <v>50</v>
      </c>
      <c r="C66" s="259">
        <f>Y49</f>
        <v>0</v>
      </c>
      <c r="D66" s="266">
        <f>B66*C66/100</f>
        <v>0</v>
      </c>
      <c r="E66" s="259">
        <f>Z49</f>
        <v>0</v>
      </c>
      <c r="F66" s="266">
        <f>B66*E66/100</f>
        <v>0</v>
      </c>
      <c r="G66" s="259">
        <f>AA49</f>
        <v>0</v>
      </c>
      <c r="H66" s="259"/>
      <c r="I66" s="260"/>
      <c r="J66" s="260"/>
      <c r="K66" s="260"/>
      <c r="L66" s="260"/>
      <c r="M66" s="308">
        <f>B66*G66/100</f>
        <v>0</v>
      </c>
      <c r="N66" s="259">
        <f>AB49</f>
        <v>0</v>
      </c>
      <c r="O66" s="266">
        <f>B66*N66/100</f>
        <v>0</v>
      </c>
      <c r="P66" s="7"/>
      <c r="Q66" s="7"/>
      <c r="R66" s="7"/>
      <c r="S66" s="7"/>
      <c r="T66" s="7"/>
      <c r="U66" s="7"/>
      <c r="V66" s="7"/>
      <c r="W66" s="7"/>
      <c r="X66" s="7"/>
      <c r="Y66" s="7"/>
      <c r="Z66" s="7"/>
      <c r="AA66" s="7"/>
      <c r="AB66" s="7"/>
      <c r="AC66" s="7"/>
      <c r="AD66" s="7"/>
      <c r="AE66" s="3"/>
      <c r="AF66" s="3"/>
    </row>
    <row r="67" spans="1:44" s="1" customFormat="1">
      <c r="A67" s="259" t="s">
        <v>18</v>
      </c>
      <c r="B67" s="266">
        <v>1</v>
      </c>
      <c r="C67" s="264">
        <f>Y50</f>
        <v>0</v>
      </c>
      <c r="D67" s="264">
        <v>0</v>
      </c>
      <c r="E67" s="266">
        <f>Z50</f>
        <v>0</v>
      </c>
      <c r="F67" s="266">
        <f>B67*E67/100</f>
        <v>0</v>
      </c>
      <c r="G67" s="266">
        <f>AA50</f>
        <v>0</v>
      </c>
      <c r="H67" s="259"/>
      <c r="I67" s="260"/>
      <c r="J67" s="260"/>
      <c r="K67" s="260"/>
      <c r="L67" s="260"/>
      <c r="M67" s="308">
        <f>B67*G67/100</f>
        <v>0</v>
      </c>
      <c r="N67" s="266">
        <f>AB50</f>
        <v>0</v>
      </c>
      <c r="O67" s="266">
        <f>B67*N67/100</f>
        <v>0</v>
      </c>
      <c r="P67" s="7"/>
      <c r="Q67" s="7"/>
      <c r="R67" s="7"/>
      <c r="S67" s="7"/>
      <c r="T67" s="7"/>
      <c r="U67" s="7"/>
      <c r="V67" s="7"/>
      <c r="W67" s="7"/>
      <c r="X67" s="7"/>
      <c r="Y67" s="7"/>
      <c r="Z67" s="7"/>
      <c r="AA67" s="7"/>
      <c r="AB67" s="7"/>
      <c r="AC67" s="7"/>
      <c r="AD67" s="7"/>
      <c r="AE67" s="3"/>
      <c r="AF67" s="3"/>
    </row>
    <row r="68" spans="1:44" s="1" customFormat="1" ht="15" customHeight="1">
      <c r="A68" s="3"/>
      <c r="B68" s="3"/>
      <c r="C68" s="3"/>
      <c r="D68" s="3"/>
      <c r="E68" s="3"/>
      <c r="F68" s="3"/>
      <c r="G68" s="3"/>
      <c r="H68" s="3"/>
      <c r="M68" s="5"/>
      <c r="N68" s="3"/>
      <c r="O68" s="3"/>
      <c r="P68" s="7"/>
      <c r="Q68" s="7"/>
      <c r="R68" s="7"/>
      <c r="S68" s="7"/>
      <c r="T68" s="7"/>
      <c r="U68" s="7"/>
      <c r="V68" s="7"/>
      <c r="W68" s="7"/>
      <c r="X68" s="7"/>
      <c r="Y68" s="7"/>
      <c r="Z68" s="7"/>
      <c r="AA68" s="7"/>
      <c r="AB68" s="7"/>
      <c r="AC68" s="7"/>
      <c r="AD68" s="7"/>
      <c r="AE68" s="3"/>
      <c r="AF68" s="3"/>
    </row>
    <row r="69" spans="1:44" s="1" customFormat="1" ht="15">
      <c r="A69" s="988" t="s">
        <v>604</v>
      </c>
      <c r="B69" s="988"/>
      <c r="C69" s="988"/>
      <c r="D69" s="988"/>
      <c r="E69" s="988"/>
      <c r="F69" s="988"/>
      <c r="G69" s="988"/>
      <c r="H69" s="988"/>
      <c r="I69" s="988"/>
      <c r="J69" s="988"/>
      <c r="K69" s="988"/>
      <c r="L69" s="988"/>
      <c r="M69" s="988"/>
      <c r="N69" s="988"/>
      <c r="O69" s="3"/>
      <c r="P69" s="7"/>
      <c r="Q69" s="7"/>
      <c r="R69" s="7"/>
      <c r="S69" s="7"/>
      <c r="T69" s="7"/>
      <c r="U69" s="7"/>
      <c r="V69" s="7"/>
      <c r="W69" s="7"/>
      <c r="X69" s="7"/>
      <c r="Y69" s="7"/>
      <c r="Z69" s="7"/>
      <c r="AA69" s="7"/>
      <c r="AB69" s="7"/>
      <c r="AC69" s="7"/>
      <c r="AD69" s="7"/>
      <c r="AE69" s="3"/>
      <c r="AF69" s="3"/>
    </row>
    <row r="70" spans="1:44" s="1" customFormat="1" ht="45">
      <c r="A70" s="267" t="s">
        <v>593</v>
      </c>
      <c r="B70" s="267" t="s">
        <v>594</v>
      </c>
      <c r="C70" s="267" t="s">
        <v>589</v>
      </c>
      <c r="D70" s="267" t="s">
        <v>595</v>
      </c>
      <c r="E70" s="267" t="s">
        <v>589</v>
      </c>
      <c r="F70" s="267" t="s">
        <v>596</v>
      </c>
      <c r="G70" s="267" t="s">
        <v>589</v>
      </c>
      <c r="H70" s="267"/>
      <c r="I70" s="268"/>
      <c r="J70" s="268"/>
      <c r="K70" s="268"/>
      <c r="L70" s="268"/>
      <c r="M70" s="267" t="s">
        <v>597</v>
      </c>
      <c r="N70" s="267" t="s">
        <v>589</v>
      </c>
      <c r="O70" s="3"/>
      <c r="P70" s="7"/>
      <c r="Q70" s="7"/>
      <c r="R70" s="7"/>
      <c r="S70" s="7"/>
      <c r="T70" s="7"/>
      <c r="U70" s="7"/>
      <c r="V70" s="7"/>
      <c r="W70" s="7"/>
      <c r="X70" s="7"/>
      <c r="Y70" s="7"/>
      <c r="Z70" s="7"/>
      <c r="AA70" s="7"/>
      <c r="AB70" s="7"/>
      <c r="AC70" s="7"/>
      <c r="AD70" s="7"/>
      <c r="AE70" s="3"/>
      <c r="AF70" s="3"/>
    </row>
    <row r="71" spans="1:44" s="1" customFormat="1" ht="15">
      <c r="A71" s="272">
        <f>X49</f>
        <v>46653408300.922806</v>
      </c>
      <c r="B71" s="272">
        <f>AC49</f>
        <v>18977679181</v>
      </c>
      <c r="C71" s="312">
        <f>A71*B71/100</f>
        <v>8.8537341543511532E+18</v>
      </c>
      <c r="D71" s="272">
        <f>AD49</f>
        <v>10383091719</v>
      </c>
      <c r="E71" s="312">
        <f>A71*D71/100</f>
        <v>4.8440661739243745E+18</v>
      </c>
      <c r="F71" s="272">
        <f>AE49</f>
        <v>0</v>
      </c>
      <c r="G71" s="312">
        <f>A71*F71/100</f>
        <v>0</v>
      </c>
      <c r="H71" s="262"/>
      <c r="I71" s="273"/>
      <c r="J71" s="273"/>
      <c r="K71" s="273"/>
      <c r="L71" s="273"/>
      <c r="M71" s="276">
        <f>AF49</f>
        <v>0</v>
      </c>
      <c r="N71" s="312">
        <f>A71*M71/100</f>
        <v>0</v>
      </c>
      <c r="O71" s="3"/>
      <c r="P71" s="7"/>
      <c r="Q71" s="7"/>
      <c r="R71" s="7"/>
      <c r="S71" s="7"/>
      <c r="T71" s="7"/>
      <c r="U71" s="7"/>
      <c r="V71" s="7"/>
      <c r="W71" s="7"/>
      <c r="X71" s="7"/>
      <c r="Y71" s="7"/>
      <c r="Z71" s="7"/>
      <c r="AA71" s="7"/>
      <c r="AB71" s="7"/>
      <c r="AC71" s="7"/>
      <c r="AD71" s="7"/>
      <c r="AE71" s="3"/>
      <c r="AF71" s="3"/>
    </row>
    <row r="72" spans="1:44" s="1" customFormat="1">
      <c r="A72" s="259"/>
      <c r="B72" s="259"/>
      <c r="C72" s="259"/>
      <c r="D72" s="259"/>
      <c r="E72" s="259"/>
      <c r="F72" s="259"/>
      <c r="G72" s="259"/>
      <c r="H72" s="259"/>
      <c r="I72" s="260"/>
      <c r="J72" s="260"/>
      <c r="K72" s="260"/>
      <c r="L72" s="260"/>
      <c r="M72" s="261"/>
      <c r="N72" s="259"/>
      <c r="O72" s="3"/>
      <c r="P72" s="7"/>
      <c r="Q72" s="7"/>
      <c r="R72" s="7"/>
      <c r="S72" s="7"/>
      <c r="T72" s="7"/>
      <c r="U72" s="7"/>
      <c r="V72" s="7"/>
      <c r="W72" s="7"/>
      <c r="X72" s="7"/>
      <c r="Y72" s="7"/>
      <c r="Z72" s="7"/>
      <c r="AA72" s="7"/>
      <c r="AB72" s="7"/>
      <c r="AC72" s="7"/>
      <c r="AD72" s="7"/>
      <c r="AE72" s="3"/>
      <c r="AF72" s="3"/>
    </row>
    <row r="73" spans="1:44" s="1" customFormat="1" ht="15" customHeight="1">
      <c r="A73" s="3"/>
      <c r="B73" s="3"/>
      <c r="C73" s="3"/>
      <c r="D73" s="3"/>
      <c r="E73" s="3"/>
      <c r="F73" s="3"/>
      <c r="G73" s="3"/>
      <c r="H73" s="3"/>
      <c r="M73" s="5"/>
      <c r="N73" s="3"/>
      <c r="O73" s="3"/>
      <c r="P73" s="7"/>
      <c r="Q73" s="7"/>
      <c r="R73" s="7"/>
      <c r="S73" s="7"/>
      <c r="T73" s="7"/>
      <c r="U73" s="7"/>
      <c r="V73" s="7"/>
      <c r="W73" s="7"/>
      <c r="X73" s="7"/>
      <c r="Y73" s="7"/>
      <c r="Z73" s="7"/>
      <c r="AA73" s="7"/>
      <c r="AB73" s="7"/>
      <c r="AC73" s="7"/>
      <c r="AD73" s="7"/>
      <c r="AE73" s="3"/>
      <c r="AF73" s="3"/>
    </row>
    <row r="74" spans="1:44" ht="15" customHeight="1">
      <c r="P74" s="7"/>
      <c r="Q74" s="7"/>
      <c r="R74" s="7"/>
      <c r="S74" s="7"/>
      <c r="T74" s="7"/>
      <c r="U74" s="7"/>
      <c r="AE74" s="3"/>
      <c r="AF74" s="3"/>
      <c r="AG74" s="2"/>
      <c r="AH74" s="2"/>
      <c r="AI74" s="2"/>
      <c r="AJ74" s="2"/>
      <c r="AK74" s="2"/>
      <c r="AL74" s="2"/>
      <c r="AM74" s="2"/>
      <c r="AN74" s="2"/>
      <c r="AO74" s="2"/>
      <c r="AP74" s="2"/>
      <c r="AQ74" s="2"/>
      <c r="AR74" s="2"/>
    </row>
    <row r="75" spans="1:44" ht="15">
      <c r="A75" s="987" t="s">
        <v>600</v>
      </c>
      <c r="B75" s="987"/>
      <c r="C75" s="987"/>
      <c r="D75" s="987"/>
      <c r="E75" s="987"/>
      <c r="F75" s="987"/>
      <c r="G75" s="987"/>
      <c r="H75" s="987"/>
      <c r="I75" s="987"/>
      <c r="J75" s="987"/>
      <c r="K75" s="987"/>
      <c r="L75" s="987"/>
      <c r="M75" s="987"/>
      <c r="N75" s="987"/>
      <c r="O75" s="987"/>
      <c r="P75" s="7"/>
      <c r="Q75" s="7"/>
      <c r="R75" s="7"/>
      <c r="S75" s="7"/>
      <c r="T75" s="7"/>
      <c r="U75" s="7"/>
      <c r="AE75" s="3"/>
      <c r="AF75" s="3"/>
      <c r="AG75" s="2"/>
      <c r="AH75" s="2"/>
      <c r="AI75" s="2"/>
      <c r="AJ75" s="2"/>
      <c r="AK75" s="2"/>
      <c r="AL75" s="2"/>
      <c r="AM75" s="2"/>
      <c r="AN75" s="2"/>
      <c r="AO75" s="2"/>
      <c r="AP75" s="2"/>
      <c r="AQ75" s="2"/>
      <c r="AR75" s="2"/>
    </row>
    <row r="76" spans="1:44" ht="90">
      <c r="A76" s="269" t="s">
        <v>598</v>
      </c>
      <c r="B76" s="270" t="s">
        <v>587</v>
      </c>
      <c r="C76" s="270" t="s">
        <v>588</v>
      </c>
      <c r="D76" s="270" t="s">
        <v>589</v>
      </c>
      <c r="E76" s="270" t="s">
        <v>590</v>
      </c>
      <c r="F76" s="270" t="s">
        <v>589</v>
      </c>
      <c r="G76" s="270" t="s">
        <v>591</v>
      </c>
      <c r="H76" s="270" t="s">
        <v>589</v>
      </c>
      <c r="I76" s="270"/>
      <c r="J76" s="271"/>
      <c r="K76" s="271"/>
      <c r="L76" s="271"/>
      <c r="M76" s="270" t="s">
        <v>589</v>
      </c>
      <c r="N76" s="270" t="s">
        <v>592</v>
      </c>
      <c r="O76" s="270" t="s">
        <v>589</v>
      </c>
      <c r="P76" s="7"/>
      <c r="Q76" s="7"/>
      <c r="R76" s="7"/>
      <c r="S76" s="7"/>
      <c r="T76" s="7"/>
      <c r="U76" s="7"/>
      <c r="AE76" s="3"/>
      <c r="AF76" s="3"/>
      <c r="AG76" s="2"/>
      <c r="AH76" s="2"/>
      <c r="AI76" s="2"/>
      <c r="AJ76" s="2"/>
      <c r="AK76" s="2"/>
      <c r="AL76" s="2"/>
      <c r="AM76" s="2"/>
      <c r="AN76" s="2"/>
      <c r="AO76" s="2"/>
      <c r="AP76" s="2"/>
      <c r="AQ76" s="2"/>
      <c r="AR76" s="2"/>
    </row>
    <row r="77" spans="1:44">
      <c r="A77" s="259" t="s">
        <v>599</v>
      </c>
      <c r="B77" s="259">
        <f>B66+B56</f>
        <v>374</v>
      </c>
      <c r="C77" s="259">
        <f>C66+C56</f>
        <v>0</v>
      </c>
      <c r="D77" s="266">
        <f>B77*C77</f>
        <v>0</v>
      </c>
      <c r="E77" s="259">
        <f>E66+E56</f>
        <v>0</v>
      </c>
      <c r="F77" s="266">
        <f>B77*E77/100</f>
        <v>0</v>
      </c>
      <c r="G77" s="259">
        <f>G66+G56</f>
        <v>0</v>
      </c>
      <c r="H77" s="259"/>
      <c r="I77" s="260"/>
      <c r="J77" s="260"/>
      <c r="K77" s="260"/>
      <c r="L77" s="260"/>
      <c r="M77" s="266">
        <f>B77*G77/100</f>
        <v>0</v>
      </c>
      <c r="N77" s="259">
        <f>N66+N56</f>
        <v>0</v>
      </c>
      <c r="O77" s="266">
        <f>B77*N77/100</f>
        <v>0</v>
      </c>
      <c r="P77" s="7"/>
      <c r="Q77" s="7"/>
      <c r="R77" s="7"/>
      <c r="S77" s="7"/>
      <c r="T77" s="7"/>
      <c r="U77" s="7"/>
      <c r="AE77" s="3"/>
      <c r="AF77" s="3"/>
      <c r="AG77" s="2"/>
      <c r="AH77" s="2"/>
      <c r="AI77" s="2"/>
      <c r="AJ77" s="2"/>
      <c r="AK77" s="2"/>
      <c r="AL77" s="2"/>
      <c r="AM77" s="2"/>
      <c r="AN77" s="2"/>
      <c r="AO77" s="2"/>
      <c r="AP77" s="2"/>
      <c r="AQ77" s="2"/>
      <c r="AR77" s="2"/>
    </row>
    <row r="78" spans="1:44">
      <c r="A78" s="259" t="s">
        <v>18</v>
      </c>
      <c r="B78" s="266">
        <v>1</v>
      </c>
      <c r="C78" s="266">
        <f>C67+C57</f>
        <v>0</v>
      </c>
      <c r="D78" s="266">
        <f>B78*C78</f>
        <v>0</v>
      </c>
      <c r="E78" s="266">
        <f>E67+E57</f>
        <v>0</v>
      </c>
      <c r="F78" s="266">
        <f>B78*E78/100</f>
        <v>0</v>
      </c>
      <c r="G78" s="266">
        <f>G67+G57</f>
        <v>0</v>
      </c>
      <c r="H78" s="259"/>
      <c r="I78" s="260"/>
      <c r="J78" s="260"/>
      <c r="K78" s="260"/>
      <c r="L78" s="260"/>
      <c r="M78" s="266">
        <f>B78*G78/100</f>
        <v>0</v>
      </c>
      <c r="N78" s="266">
        <f>N67+N57</f>
        <v>0</v>
      </c>
      <c r="O78" s="266">
        <f>B78*N78/100</f>
        <v>0</v>
      </c>
      <c r="P78" s="7"/>
      <c r="Q78" s="7"/>
      <c r="R78" s="7"/>
      <c r="S78" s="7"/>
      <c r="T78" s="7"/>
      <c r="U78" s="7"/>
      <c r="AE78" s="3"/>
      <c r="AF78" s="3"/>
      <c r="AG78" s="2"/>
      <c r="AH78" s="2"/>
      <c r="AI78" s="2"/>
      <c r="AJ78" s="2"/>
      <c r="AK78" s="2"/>
      <c r="AL78" s="2"/>
      <c r="AM78" s="2"/>
      <c r="AN78" s="2"/>
      <c r="AO78" s="2"/>
      <c r="AP78" s="2"/>
      <c r="AQ78" s="2"/>
      <c r="AR78" s="2"/>
    </row>
    <row r="79" spans="1:44" ht="15" customHeight="1">
      <c r="I79" s="1"/>
      <c r="J79" s="1"/>
      <c r="K79" s="1"/>
      <c r="L79" s="1"/>
      <c r="P79" s="7"/>
      <c r="Q79" s="7"/>
      <c r="R79" s="7"/>
      <c r="S79" s="7"/>
      <c r="T79" s="7"/>
      <c r="U79" s="7"/>
      <c r="AE79" s="3"/>
      <c r="AF79" s="3"/>
      <c r="AG79" s="2"/>
      <c r="AH79" s="2"/>
      <c r="AI79" s="2"/>
      <c r="AJ79" s="2"/>
      <c r="AK79" s="2"/>
      <c r="AL79" s="2"/>
      <c r="AM79" s="2"/>
      <c r="AN79" s="2"/>
      <c r="AO79" s="2"/>
      <c r="AP79" s="2"/>
      <c r="AQ79" s="2"/>
      <c r="AR79" s="2"/>
    </row>
    <row r="80" spans="1:44" ht="15">
      <c r="A80" s="988" t="s">
        <v>606</v>
      </c>
      <c r="B80" s="988"/>
      <c r="C80" s="988"/>
      <c r="D80" s="988"/>
      <c r="E80" s="988"/>
      <c r="F80" s="988"/>
      <c r="G80" s="988"/>
      <c r="H80" s="988"/>
      <c r="I80" s="988"/>
      <c r="J80" s="988"/>
      <c r="K80" s="988"/>
      <c r="L80" s="988"/>
      <c r="M80" s="988"/>
      <c r="N80" s="988"/>
      <c r="P80" s="7"/>
      <c r="Q80" s="7"/>
      <c r="R80" s="7"/>
      <c r="S80" s="7"/>
      <c r="T80" s="7"/>
      <c r="U80" s="7"/>
      <c r="AE80" s="3"/>
      <c r="AF80" s="3"/>
      <c r="AG80" s="2"/>
      <c r="AH80" s="2"/>
      <c r="AI80" s="2"/>
      <c r="AJ80" s="2"/>
      <c r="AK80" s="2"/>
      <c r="AL80" s="2"/>
      <c r="AM80" s="2"/>
      <c r="AN80" s="2"/>
      <c r="AO80" s="2"/>
      <c r="AP80" s="2"/>
      <c r="AQ80" s="2"/>
      <c r="AR80" s="2"/>
    </row>
    <row r="81" spans="1:44" ht="45">
      <c r="A81" s="267" t="s">
        <v>593</v>
      </c>
      <c r="B81" s="267" t="s">
        <v>594</v>
      </c>
      <c r="C81" s="267" t="s">
        <v>589</v>
      </c>
      <c r="D81" s="267" t="s">
        <v>595</v>
      </c>
      <c r="E81" s="267" t="s">
        <v>589</v>
      </c>
      <c r="F81" s="267" t="s">
        <v>596</v>
      </c>
      <c r="G81" s="267" t="s">
        <v>589</v>
      </c>
      <c r="H81" s="267"/>
      <c r="I81" s="268"/>
      <c r="J81" s="268"/>
      <c r="K81" s="268"/>
      <c r="L81" s="268"/>
      <c r="M81" s="267" t="s">
        <v>597</v>
      </c>
      <c r="N81" s="267" t="s">
        <v>589</v>
      </c>
      <c r="P81" s="7"/>
      <c r="Q81" s="7"/>
      <c r="R81" s="7"/>
      <c r="S81" s="7"/>
      <c r="T81" s="7"/>
      <c r="U81" s="7"/>
      <c r="AE81" s="3"/>
      <c r="AF81" s="3"/>
      <c r="AG81" s="2"/>
      <c r="AH81" s="2"/>
      <c r="AI81" s="2"/>
      <c r="AJ81" s="2"/>
      <c r="AK81" s="2"/>
      <c r="AL81" s="2"/>
      <c r="AM81" s="2"/>
      <c r="AN81" s="2"/>
      <c r="AO81" s="2"/>
      <c r="AP81" s="2"/>
      <c r="AQ81" s="2"/>
      <c r="AR81" s="2"/>
    </row>
    <row r="82" spans="1:44">
      <c r="A82" s="263">
        <f>A71+A61</f>
        <v>49301015763.194084</v>
      </c>
      <c r="B82" s="263">
        <f>B71+B61</f>
        <v>19616792701</v>
      </c>
      <c r="C82" s="264">
        <f>A82*B82/100</f>
        <v>9.6712780617531167E+18</v>
      </c>
      <c r="D82" s="263">
        <f>D71+D61</f>
        <v>10766076558</v>
      </c>
      <c r="E82" s="266">
        <f>A82*D82/100</f>
        <v>5.3077851009371228E+18</v>
      </c>
      <c r="F82" s="263">
        <f>F71+F61</f>
        <v>0</v>
      </c>
      <c r="G82" s="266">
        <f>A82*F82/100</f>
        <v>0</v>
      </c>
      <c r="H82" s="259"/>
      <c r="I82" s="260"/>
      <c r="J82" s="260"/>
      <c r="K82" s="260"/>
      <c r="L82" s="260"/>
      <c r="M82" s="275">
        <f>M71+M61</f>
        <v>0</v>
      </c>
      <c r="N82" s="266">
        <f>A82*M82/100</f>
        <v>0</v>
      </c>
      <c r="P82" s="7"/>
      <c r="Q82" s="7"/>
      <c r="R82" s="7"/>
      <c r="S82" s="7"/>
      <c r="T82" s="7"/>
      <c r="U82" s="7"/>
      <c r="AE82" s="3"/>
      <c r="AF82" s="3"/>
      <c r="AG82" s="2"/>
      <c r="AH82" s="2"/>
      <c r="AI82" s="2"/>
      <c r="AJ82" s="2"/>
      <c r="AK82" s="2"/>
      <c r="AL82" s="2"/>
      <c r="AM82" s="2"/>
      <c r="AN82" s="2"/>
      <c r="AO82" s="2"/>
      <c r="AP82" s="2"/>
      <c r="AQ82" s="2"/>
      <c r="AR82" s="2"/>
    </row>
    <row r="83" spans="1:44">
      <c r="A83" s="259"/>
      <c r="B83" s="259"/>
      <c r="C83" s="259"/>
      <c r="D83" s="259"/>
      <c r="E83" s="259"/>
      <c r="F83" s="259"/>
      <c r="G83" s="259"/>
      <c r="H83" s="259"/>
      <c r="I83" s="260"/>
      <c r="J83" s="260"/>
      <c r="K83" s="260"/>
      <c r="L83" s="260"/>
      <c r="M83" s="261"/>
      <c r="N83" s="259"/>
      <c r="P83" s="7"/>
      <c r="Q83" s="7"/>
      <c r="R83" s="7"/>
      <c r="S83" s="7"/>
      <c r="T83" s="7"/>
      <c r="U83" s="7"/>
      <c r="AE83" s="3"/>
      <c r="AF83" s="3"/>
      <c r="AG83" s="2"/>
      <c r="AH83" s="2"/>
      <c r="AI83" s="2"/>
      <c r="AJ83" s="2"/>
      <c r="AK83" s="2"/>
      <c r="AL83" s="2"/>
      <c r="AM83" s="2"/>
      <c r="AN83" s="2"/>
      <c r="AO83" s="2"/>
      <c r="AP83" s="2"/>
      <c r="AQ83" s="2"/>
      <c r="AR83" s="2"/>
    </row>
    <row r="84" spans="1:44">
      <c r="P84" s="7"/>
      <c r="Q84" s="7"/>
      <c r="R84" s="7"/>
      <c r="S84" s="7"/>
      <c r="T84" s="7"/>
      <c r="U84" s="7"/>
      <c r="AE84" s="3"/>
      <c r="AF84" s="3"/>
      <c r="AG84" s="2"/>
      <c r="AH84" s="2"/>
      <c r="AI84" s="2"/>
      <c r="AJ84" s="2"/>
      <c r="AK84" s="2"/>
      <c r="AL84" s="2"/>
      <c r="AM84" s="2"/>
      <c r="AN84" s="2"/>
      <c r="AO84" s="2"/>
      <c r="AP84" s="2"/>
      <c r="AQ84" s="2"/>
      <c r="AR84" s="2"/>
    </row>
    <row r="85" spans="1:44">
      <c r="A85" s="5"/>
      <c r="I85" s="3"/>
      <c r="J85" s="7"/>
      <c r="K85" s="7"/>
      <c r="L85" s="7"/>
      <c r="M85" s="7"/>
      <c r="N85" s="7"/>
      <c r="O85" s="7"/>
      <c r="P85" s="7"/>
      <c r="Q85" s="7"/>
      <c r="R85" s="7"/>
      <c r="S85" s="7"/>
      <c r="T85" s="7"/>
      <c r="U85" s="7"/>
      <c r="AE85" s="3"/>
      <c r="AF85" s="3"/>
      <c r="AG85" s="2"/>
      <c r="AH85" s="2"/>
      <c r="AI85" s="2"/>
      <c r="AJ85" s="2"/>
      <c r="AK85" s="2"/>
      <c r="AL85" s="2"/>
      <c r="AM85" s="2"/>
      <c r="AN85" s="2"/>
      <c r="AO85" s="2"/>
      <c r="AP85" s="2"/>
      <c r="AQ85" s="2"/>
      <c r="AR85" s="2"/>
    </row>
    <row r="86" spans="1:44">
      <c r="A86" s="5"/>
      <c r="I86" s="3"/>
      <c r="J86" s="7"/>
      <c r="K86" s="7"/>
      <c r="L86" s="7"/>
      <c r="M86" s="7"/>
      <c r="N86" s="7"/>
      <c r="O86" s="7"/>
      <c r="P86" s="7"/>
      <c r="Q86" s="7"/>
      <c r="R86" s="7"/>
      <c r="S86" s="7"/>
      <c r="T86" s="7"/>
      <c r="U86" s="7"/>
      <c r="AE86" s="3"/>
      <c r="AF86" s="3"/>
      <c r="AG86" s="2"/>
      <c r="AH86" s="2"/>
      <c r="AI86" s="2"/>
      <c r="AJ86" s="2"/>
      <c r="AK86" s="2"/>
      <c r="AL86" s="2"/>
      <c r="AM86" s="2"/>
      <c r="AN86" s="2"/>
      <c r="AO86" s="2"/>
      <c r="AP86" s="2"/>
      <c r="AQ86" s="2"/>
      <c r="AR86" s="2"/>
    </row>
    <row r="87" spans="1:44">
      <c r="A87" s="5"/>
      <c r="I87" s="3"/>
      <c r="J87" s="7"/>
      <c r="K87" s="7"/>
      <c r="L87" s="7"/>
      <c r="M87" s="7"/>
      <c r="N87" s="7"/>
      <c r="O87" s="7"/>
      <c r="P87" s="7"/>
      <c r="Q87" s="7"/>
      <c r="R87" s="7"/>
      <c r="S87" s="7"/>
      <c r="T87" s="7"/>
      <c r="U87" s="7"/>
      <c r="AE87" s="3"/>
      <c r="AF87" s="3"/>
      <c r="AG87" s="2"/>
      <c r="AH87" s="2"/>
      <c r="AI87" s="2"/>
      <c r="AJ87" s="2"/>
      <c r="AK87" s="2"/>
      <c r="AL87" s="2"/>
      <c r="AM87" s="2"/>
      <c r="AN87" s="2"/>
      <c r="AO87" s="2"/>
      <c r="AP87" s="2"/>
      <c r="AQ87" s="2"/>
      <c r="AR87" s="2"/>
    </row>
    <row r="88" spans="1:44">
      <c r="A88" s="5"/>
      <c r="I88" s="3"/>
      <c r="J88" s="7"/>
      <c r="K88" s="7"/>
      <c r="L88" s="7"/>
      <c r="M88" s="7"/>
      <c r="N88" s="7"/>
      <c r="O88" s="7"/>
      <c r="P88" s="7"/>
      <c r="Q88" s="7"/>
      <c r="R88" s="7"/>
      <c r="S88" s="7"/>
      <c r="T88" s="7"/>
      <c r="U88" s="7"/>
      <c r="AE88" s="3"/>
      <c r="AF88" s="3"/>
      <c r="AG88" s="2"/>
      <c r="AH88" s="2"/>
      <c r="AI88" s="2"/>
      <c r="AJ88" s="2"/>
      <c r="AK88" s="2"/>
      <c r="AL88" s="2"/>
      <c r="AM88" s="2"/>
      <c r="AN88" s="2"/>
      <c r="AO88" s="2"/>
      <c r="AP88" s="2"/>
      <c r="AQ88" s="2"/>
      <c r="AR88" s="2"/>
    </row>
    <row r="89" spans="1:44">
      <c r="A89" s="5"/>
      <c r="I89" s="3"/>
      <c r="J89" s="7"/>
      <c r="K89" s="7"/>
      <c r="L89" s="7"/>
      <c r="M89" s="7"/>
      <c r="N89" s="7"/>
      <c r="O89" s="7"/>
      <c r="P89" s="7"/>
      <c r="Q89" s="7"/>
      <c r="R89" s="7"/>
      <c r="S89" s="7"/>
      <c r="T89" s="7"/>
      <c r="U89" s="7"/>
      <c r="AE89" s="3"/>
      <c r="AF89" s="3"/>
      <c r="AG89" s="2"/>
      <c r="AH89" s="2"/>
      <c r="AI89" s="2"/>
      <c r="AJ89" s="2"/>
      <c r="AK89" s="2"/>
      <c r="AL89" s="2"/>
      <c r="AM89" s="2"/>
      <c r="AN89" s="2"/>
      <c r="AO89" s="2"/>
      <c r="AP89" s="2"/>
      <c r="AQ89" s="2"/>
      <c r="AR89" s="2"/>
    </row>
    <row r="90" spans="1:44">
      <c r="A90" s="5"/>
      <c r="I90" s="3"/>
      <c r="J90" s="7"/>
      <c r="K90" s="7"/>
      <c r="L90" s="7"/>
      <c r="M90" s="7"/>
      <c r="N90" s="7"/>
      <c r="O90" s="7"/>
      <c r="P90" s="7"/>
      <c r="Q90" s="7"/>
      <c r="R90" s="7"/>
      <c r="S90" s="7"/>
      <c r="T90" s="7"/>
      <c r="U90" s="7"/>
      <c r="AE90" s="3"/>
      <c r="AF90" s="3"/>
      <c r="AG90" s="2"/>
      <c r="AH90" s="2"/>
      <c r="AI90" s="2"/>
      <c r="AJ90" s="2"/>
      <c r="AK90" s="2"/>
      <c r="AL90" s="2"/>
      <c r="AM90" s="2"/>
      <c r="AN90" s="2"/>
      <c r="AO90" s="2"/>
      <c r="AP90" s="2"/>
      <c r="AQ90" s="2"/>
      <c r="AR90" s="2"/>
    </row>
    <row r="91" spans="1:44">
      <c r="A91" s="5"/>
      <c r="I91" s="3"/>
      <c r="J91" s="7"/>
      <c r="K91" s="7"/>
      <c r="L91" s="7"/>
      <c r="M91" s="7"/>
      <c r="N91" s="7"/>
      <c r="O91" s="7"/>
      <c r="P91" s="7"/>
      <c r="Q91" s="7"/>
      <c r="R91" s="7"/>
      <c r="S91" s="7"/>
      <c r="T91" s="7"/>
      <c r="U91" s="7"/>
      <c r="AE91" s="3"/>
      <c r="AF91" s="3"/>
      <c r="AG91" s="2"/>
      <c r="AH91" s="2"/>
      <c r="AI91" s="2"/>
      <c r="AJ91" s="2"/>
      <c r="AK91" s="2"/>
      <c r="AL91" s="2"/>
      <c r="AM91" s="2"/>
      <c r="AN91" s="2"/>
      <c r="AO91" s="2"/>
      <c r="AP91" s="2"/>
      <c r="AQ91" s="2"/>
      <c r="AR91" s="2"/>
    </row>
  </sheetData>
  <mergeCells count="150">
    <mergeCell ref="A1:AR1"/>
    <mergeCell ref="AT1:AX1"/>
    <mergeCell ref="A2:AR2"/>
    <mergeCell ref="A3:AR3"/>
    <mergeCell ref="A4:AR4"/>
    <mergeCell ref="Q6:Q7"/>
    <mergeCell ref="R6:R7"/>
    <mergeCell ref="S6:S7"/>
    <mergeCell ref="T6:X6"/>
    <mergeCell ref="Y6:AP6"/>
    <mergeCell ref="A5:AR5"/>
    <mergeCell ref="A6:B6"/>
    <mergeCell ref="C6:E6"/>
    <mergeCell ref="G6:J6"/>
    <mergeCell ref="K6:K7"/>
    <mergeCell ref="L6:L7"/>
    <mergeCell ref="M6:M7"/>
    <mergeCell ref="N6:N7"/>
    <mergeCell ref="O6:O7"/>
    <mergeCell ref="P6:P7"/>
    <mergeCell ref="I8:I9"/>
    <mergeCell ref="I12:I13"/>
    <mergeCell ref="E15:E25"/>
    <mergeCell ref="G16:G17"/>
    <mergeCell ref="A8:A25"/>
    <mergeCell ref="B8:B25"/>
    <mergeCell ref="C8:C9"/>
    <mergeCell ref="D8:D9"/>
    <mergeCell ref="C15:C25"/>
    <mergeCell ref="D15:D25"/>
    <mergeCell ref="C12:C13"/>
    <mergeCell ref="D12:D13"/>
    <mergeCell ref="E12:E13"/>
    <mergeCell ref="G12:G13"/>
    <mergeCell ref="H12:H13"/>
    <mergeCell ref="X8:X9"/>
    <mergeCell ref="AS8:AS25"/>
    <mergeCell ref="C10:C11"/>
    <mergeCell ref="D10:D11"/>
    <mergeCell ref="E10:E11"/>
    <mergeCell ref="G10:G11"/>
    <mergeCell ref="H10:H11"/>
    <mergeCell ref="I10:I11"/>
    <mergeCell ref="J10:J11"/>
    <mergeCell ref="J8:J9"/>
    <mergeCell ref="K8:K9"/>
    <mergeCell ref="L8:L9"/>
    <mergeCell ref="T8:T9"/>
    <mergeCell ref="U8:U9"/>
    <mergeCell ref="V8:V9"/>
    <mergeCell ref="E8:E9"/>
    <mergeCell ref="F8:F19"/>
    <mergeCell ref="G8:G9"/>
    <mergeCell ref="H8:H9"/>
    <mergeCell ref="J12:J13"/>
    <mergeCell ref="K12:K13"/>
    <mergeCell ref="L12:L13"/>
    <mergeCell ref="V12:V13"/>
    <mergeCell ref="X12:X13"/>
    <mergeCell ref="K14:K15"/>
    <mergeCell ref="L14:L15"/>
    <mergeCell ref="K10:K11"/>
    <mergeCell ref="L10:L11"/>
    <mergeCell ref="V10:V11"/>
    <mergeCell ref="X10:X11"/>
    <mergeCell ref="A26:M27"/>
    <mergeCell ref="X16:X17"/>
    <mergeCell ref="F20:F21"/>
    <mergeCell ref="F22:F25"/>
    <mergeCell ref="G24:G25"/>
    <mergeCell ref="H24:H25"/>
    <mergeCell ref="I24:I25"/>
    <mergeCell ref="J24:J25"/>
    <mergeCell ref="H16:H17"/>
    <mergeCell ref="I16:I17"/>
    <mergeCell ref="J16:J17"/>
    <mergeCell ref="K16:K17"/>
    <mergeCell ref="L16:L18"/>
    <mergeCell ref="V16:V17"/>
    <mergeCell ref="AS29:AS46"/>
    <mergeCell ref="G30:G34"/>
    <mergeCell ref="H30:H34"/>
    <mergeCell ref="I30:I34"/>
    <mergeCell ref="J30:J34"/>
    <mergeCell ref="E28:E37"/>
    <mergeCell ref="F28:F37"/>
    <mergeCell ref="G28:G29"/>
    <mergeCell ref="H28:H29"/>
    <mergeCell ref="I28:I29"/>
    <mergeCell ref="V30:V31"/>
    <mergeCell ref="X30:X31"/>
    <mergeCell ref="L31:L37"/>
    <mergeCell ref="G36:G37"/>
    <mergeCell ref="H36:H37"/>
    <mergeCell ref="I36:I37"/>
    <mergeCell ref="J36:J37"/>
    <mergeCell ref="AH28:AH29"/>
    <mergeCell ref="AH30:AH31"/>
    <mergeCell ref="F46:F47"/>
    <mergeCell ref="G46:G47"/>
    <mergeCell ref="A80:N80"/>
    <mergeCell ref="V26:V27"/>
    <mergeCell ref="X26:X27"/>
    <mergeCell ref="AC26:AC27"/>
    <mergeCell ref="J28:J29"/>
    <mergeCell ref="V28:V29"/>
    <mergeCell ref="X28:X29"/>
    <mergeCell ref="A29:A46"/>
    <mergeCell ref="B29:B46"/>
    <mergeCell ref="C28:C37"/>
    <mergeCell ref="D28:D37"/>
    <mergeCell ref="H38:H42"/>
    <mergeCell ref="I38:I42"/>
    <mergeCell ref="J38:J42"/>
    <mergeCell ref="K38:K42"/>
    <mergeCell ref="L38:L42"/>
    <mergeCell ref="C44:C46"/>
    <mergeCell ref="D44:D46"/>
    <mergeCell ref="E44:E46"/>
    <mergeCell ref="F44:F45"/>
    <mergeCell ref="V49:V50"/>
    <mergeCell ref="X49:X50"/>
    <mergeCell ref="A59:N59"/>
    <mergeCell ref="A64:O64"/>
    <mergeCell ref="A69:N69"/>
    <mergeCell ref="A75:O75"/>
    <mergeCell ref="A49:M50"/>
    <mergeCell ref="A54:O54"/>
    <mergeCell ref="L44:L45"/>
    <mergeCell ref="AF26:AF27"/>
    <mergeCell ref="AG26:AG27"/>
    <mergeCell ref="W49:W50"/>
    <mergeCell ref="W28:W29"/>
    <mergeCell ref="C38:C43"/>
    <mergeCell ref="D38:D43"/>
    <mergeCell ref="E38:E43"/>
    <mergeCell ref="F38:F43"/>
    <mergeCell ref="G38:G43"/>
    <mergeCell ref="AH8:AH9"/>
    <mergeCell ref="AH10:AH11"/>
    <mergeCell ref="AH16:AH17"/>
    <mergeCell ref="AH26:AH27"/>
    <mergeCell ref="AC49:AC50"/>
    <mergeCell ref="AD49:AD50"/>
    <mergeCell ref="AE49:AE50"/>
    <mergeCell ref="AF49:AF50"/>
    <mergeCell ref="AG49:AG50"/>
    <mergeCell ref="AH49:AH50"/>
    <mergeCell ref="AD26:AD27"/>
    <mergeCell ref="AE26:AE27"/>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63E2F-2DB8-44C2-8726-67FB55B875C3}">
  <dimension ref="A1:AX105"/>
  <sheetViews>
    <sheetView topLeftCell="A84" zoomScale="70" zoomScaleNormal="70" workbookViewId="0">
      <selection activeCell="D104" sqref="D104"/>
    </sheetView>
  </sheetViews>
  <sheetFormatPr baseColWidth="10" defaultColWidth="11.42578125" defaultRowHeight="14.25"/>
  <cols>
    <col min="1" max="1" width="35" style="3" customWidth="1"/>
    <col min="2" max="2" width="28.42578125" style="3" customWidth="1"/>
    <col min="3" max="3" width="24" style="3" customWidth="1"/>
    <col min="4" max="4" width="30.42578125" style="3" customWidth="1"/>
    <col min="5" max="5" width="18.42578125" style="3" customWidth="1"/>
    <col min="6" max="6" width="20.28515625" style="3" customWidth="1"/>
    <col min="7" max="7" width="37.42578125" style="3" customWidth="1"/>
    <col min="8" max="8" width="15" style="3" hidden="1" customWidth="1"/>
    <col min="9" max="10" width="12.7109375" style="2" hidden="1" customWidth="1"/>
    <col min="11" max="11" width="38.42578125" style="2" hidden="1" customWidth="1"/>
    <col min="12" max="12" width="57.42578125" style="2" hidden="1" customWidth="1"/>
    <col min="13" max="13" width="38.140625" style="5" customWidth="1"/>
    <col min="14" max="15" width="15" style="3" customWidth="1"/>
    <col min="16" max="16" width="16.28515625" style="3" customWidth="1"/>
    <col min="17" max="17" width="16.7109375" style="3" customWidth="1"/>
    <col min="18" max="18" width="16.85546875" style="3" customWidth="1"/>
    <col min="19" max="19" width="18" style="3" customWidth="1"/>
    <col min="20" max="20" width="20.140625" style="3" customWidth="1"/>
    <col min="21" max="21" width="21.42578125" style="3" customWidth="1"/>
    <col min="22" max="23" width="27.7109375" style="7" customWidth="1"/>
    <col min="24" max="24" width="28.7109375" style="7" customWidth="1"/>
    <col min="25" max="28" width="25.42578125" style="7" hidden="1" customWidth="1"/>
    <col min="29" max="32" width="25.42578125" style="7" customWidth="1"/>
    <col min="33" max="33" width="27.7109375" style="7" bestFit="1" customWidth="1"/>
    <col min="34" max="34" width="25.42578125" style="7" customWidth="1"/>
    <col min="35" max="37" width="34.28515625" style="7" customWidth="1"/>
    <col min="38" max="42" width="43.85546875" style="7" customWidth="1"/>
    <col min="43" max="43" width="20" style="3" customWidth="1"/>
    <col min="44" max="44" width="20.140625" style="3" customWidth="1"/>
    <col min="45" max="45" width="30.28515625" style="2" hidden="1" customWidth="1"/>
    <col min="46" max="47" width="17.42578125" style="2" customWidth="1"/>
    <col min="48" max="48" width="21.140625" style="2" customWidth="1"/>
    <col min="49" max="49" width="16.7109375" style="2" customWidth="1"/>
    <col min="50" max="50" width="20.140625" style="2" customWidth="1"/>
    <col min="51" max="16384" width="11.42578125" style="2"/>
  </cols>
  <sheetData>
    <row r="1" spans="1:50" s="1" customFormat="1" ht="30.75" customHeight="1" thickTop="1" thickBot="1">
      <c r="A1" s="846" t="s">
        <v>585</v>
      </c>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22"/>
      <c r="AT1" s="823" t="s">
        <v>34</v>
      </c>
      <c r="AU1" s="823"/>
      <c r="AV1" s="823"/>
      <c r="AW1" s="823"/>
      <c r="AX1" s="824"/>
    </row>
    <row r="2" spans="1:50" s="1" customFormat="1" ht="27.95" customHeight="1" thickTop="1" thickBot="1">
      <c r="A2" s="856" t="s">
        <v>586</v>
      </c>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856"/>
      <c r="AQ2" s="856"/>
      <c r="AR2" s="856"/>
      <c r="AS2" s="22"/>
      <c r="AT2" s="253" t="s">
        <v>35</v>
      </c>
      <c r="AU2" s="20" t="s">
        <v>36</v>
      </c>
      <c r="AV2" s="16" t="s">
        <v>37</v>
      </c>
      <c r="AW2" s="16" t="s">
        <v>38</v>
      </c>
      <c r="AX2" s="16" t="s">
        <v>29</v>
      </c>
    </row>
    <row r="3" spans="1:50" s="1" customFormat="1" ht="25.5" customHeight="1" thickTop="1" thickBot="1">
      <c r="B3" s="1041" t="s">
        <v>132</v>
      </c>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c r="AJ3" s="1042"/>
      <c r="AK3" s="1042"/>
      <c r="AL3" s="1042"/>
      <c r="AM3" s="1042"/>
      <c r="AN3" s="1042"/>
      <c r="AO3" s="1042"/>
      <c r="AP3" s="1042"/>
      <c r="AQ3" s="1042"/>
      <c r="AR3" s="1043"/>
      <c r="AS3" s="23"/>
      <c r="AT3" s="28"/>
      <c r="AU3" s="21"/>
      <c r="AV3" s="17"/>
      <c r="AW3" s="18"/>
      <c r="AX3" s="19"/>
    </row>
    <row r="4" spans="1:50" s="1" customFormat="1" ht="27.95" customHeight="1" thickTop="1" thickBot="1">
      <c r="A4" s="1044" t="s">
        <v>609</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5"/>
      <c r="AK4" s="1045"/>
      <c r="AL4" s="1045"/>
      <c r="AM4" s="1045"/>
      <c r="AN4" s="1045"/>
      <c r="AO4" s="1045"/>
      <c r="AP4" s="1045"/>
      <c r="AQ4" s="1045"/>
      <c r="AR4" s="1046"/>
      <c r="AS4" s="23"/>
      <c r="AT4" s="28"/>
      <c r="AU4" s="21"/>
      <c r="AV4" s="17"/>
      <c r="AW4" s="18"/>
      <c r="AX4" s="19"/>
    </row>
    <row r="5" spans="1:50" s="1" customFormat="1" ht="27.95" customHeight="1" thickTop="1" thickBot="1">
      <c r="A5" s="825"/>
      <c r="B5" s="825"/>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c r="AR5" s="825"/>
      <c r="AS5" s="163"/>
      <c r="AT5" s="28"/>
      <c r="AU5" s="21"/>
      <c r="AV5" s="17"/>
      <c r="AW5" s="18"/>
      <c r="AX5" s="19"/>
    </row>
    <row r="6" spans="1:50" ht="27.95" customHeight="1" thickBot="1">
      <c r="A6" s="830"/>
      <c r="B6" s="831"/>
      <c r="C6" s="832" t="s">
        <v>45</v>
      </c>
      <c r="D6" s="830"/>
      <c r="E6" s="831"/>
      <c r="F6" s="29"/>
      <c r="G6" s="875" t="s">
        <v>311</v>
      </c>
      <c r="H6" s="875"/>
      <c r="I6" s="875"/>
      <c r="J6" s="875"/>
      <c r="K6" s="829" t="s">
        <v>44</v>
      </c>
      <c r="L6" s="829" t="s">
        <v>10</v>
      </c>
      <c r="M6" s="1039" t="s">
        <v>1</v>
      </c>
      <c r="N6" s="879" t="s">
        <v>48</v>
      </c>
      <c r="O6" s="879" t="s">
        <v>2</v>
      </c>
      <c r="P6" s="879" t="s">
        <v>3</v>
      </c>
      <c r="Q6" s="879" t="s">
        <v>4</v>
      </c>
      <c r="R6" s="879" t="s">
        <v>5</v>
      </c>
      <c r="S6" s="879" t="s">
        <v>6</v>
      </c>
      <c r="T6" s="878" t="s">
        <v>7</v>
      </c>
      <c r="U6" s="878"/>
      <c r="V6" s="878"/>
      <c r="W6" s="878"/>
      <c r="X6" s="878"/>
      <c r="Y6" s="1058" t="s">
        <v>612</v>
      </c>
      <c r="Z6" s="1059"/>
      <c r="AA6" s="1059"/>
      <c r="AB6" s="1059"/>
      <c r="AC6" s="1059"/>
      <c r="AD6" s="1059"/>
      <c r="AE6" s="1060"/>
      <c r="AF6" s="286"/>
      <c r="AG6" s="286"/>
      <c r="AH6" s="286"/>
      <c r="AI6" s="286"/>
      <c r="AJ6" s="286"/>
      <c r="AK6" s="286"/>
      <c r="AL6" s="286"/>
      <c r="AM6" s="286"/>
      <c r="AN6" s="286"/>
      <c r="AO6" s="286"/>
      <c r="AP6" s="286"/>
      <c r="AQ6" s="1061" t="s">
        <v>8</v>
      </c>
      <c r="AR6" s="1047" t="s">
        <v>9</v>
      </c>
      <c r="AS6" s="164"/>
      <c r="AT6" s="20" t="s">
        <v>39</v>
      </c>
      <c r="AU6" s="15" t="s">
        <v>30</v>
      </c>
      <c r="AV6" s="16" t="s">
        <v>31</v>
      </c>
      <c r="AW6" s="16" t="s">
        <v>32</v>
      </c>
      <c r="AX6" s="16" t="s">
        <v>33</v>
      </c>
    </row>
    <row r="7" spans="1:50" ht="68.25" customHeight="1" thickTop="1" thickBot="1">
      <c r="A7" s="24" t="s">
        <v>42</v>
      </c>
      <c r="B7" s="24" t="s">
        <v>43</v>
      </c>
      <c r="C7" s="24" t="s">
        <v>11</v>
      </c>
      <c r="D7" s="24" t="s">
        <v>52</v>
      </c>
      <c r="E7" s="24" t="s">
        <v>47</v>
      </c>
      <c r="F7" s="281" t="s">
        <v>41</v>
      </c>
      <c r="G7" s="282" t="s">
        <v>46</v>
      </c>
      <c r="H7" s="24" t="s">
        <v>52</v>
      </c>
      <c r="I7" s="24" t="s">
        <v>12</v>
      </c>
      <c r="J7" s="24" t="s">
        <v>47</v>
      </c>
      <c r="K7" s="829"/>
      <c r="L7" s="829"/>
      <c r="M7" s="1040"/>
      <c r="N7" s="880"/>
      <c r="O7" s="880"/>
      <c r="P7" s="880"/>
      <c r="Q7" s="880"/>
      <c r="R7" s="880"/>
      <c r="S7" s="880"/>
      <c r="T7" s="24" t="s">
        <v>13</v>
      </c>
      <c r="U7" s="24" t="s">
        <v>14</v>
      </c>
      <c r="V7" s="4" t="s">
        <v>15</v>
      </c>
      <c r="W7" s="4" t="s">
        <v>682</v>
      </c>
      <c r="X7" s="4" t="s">
        <v>16</v>
      </c>
      <c r="Y7" s="277" t="s">
        <v>565</v>
      </c>
      <c r="Z7" s="277" t="s">
        <v>566</v>
      </c>
      <c r="AA7" s="277" t="s">
        <v>567</v>
      </c>
      <c r="AB7" s="277" t="s">
        <v>568</v>
      </c>
      <c r="AC7" s="277" t="s">
        <v>569</v>
      </c>
      <c r="AD7" s="277" t="s">
        <v>570</v>
      </c>
      <c r="AE7" s="277" t="s">
        <v>571</v>
      </c>
      <c r="AF7" s="287" t="s">
        <v>572</v>
      </c>
      <c r="AG7" s="287" t="s">
        <v>573</v>
      </c>
      <c r="AH7" s="287" t="s">
        <v>574</v>
      </c>
      <c r="AI7" s="287" t="s">
        <v>575</v>
      </c>
      <c r="AJ7" s="287" t="s">
        <v>576</v>
      </c>
      <c r="AK7" s="287" t="s">
        <v>577</v>
      </c>
      <c r="AL7" s="287" t="s">
        <v>578</v>
      </c>
      <c r="AM7" s="287" t="s">
        <v>579</v>
      </c>
      <c r="AN7" s="287" t="s">
        <v>580</v>
      </c>
      <c r="AO7" s="287" t="s">
        <v>581</v>
      </c>
      <c r="AP7" s="287" t="s">
        <v>582</v>
      </c>
      <c r="AQ7" s="1062"/>
      <c r="AR7" s="1048" t="s">
        <v>9</v>
      </c>
      <c r="AS7" s="164"/>
    </row>
    <row r="8" spans="1:50" s="1" customFormat="1" ht="99.75" customHeight="1" thickBot="1">
      <c r="A8" s="765" t="s">
        <v>223</v>
      </c>
      <c r="B8" s="765" t="s">
        <v>134</v>
      </c>
      <c r="C8" s="765" t="s">
        <v>135</v>
      </c>
      <c r="D8" s="765" t="s">
        <v>17</v>
      </c>
      <c r="E8" s="765">
        <v>4</v>
      </c>
      <c r="F8" s="752" t="s">
        <v>137</v>
      </c>
      <c r="G8" s="754" t="s">
        <v>139</v>
      </c>
      <c r="H8" s="67"/>
      <c r="I8" s="68"/>
      <c r="J8" s="68"/>
      <c r="K8" s="69"/>
      <c r="L8" s="70"/>
      <c r="M8" s="70" t="s">
        <v>391</v>
      </c>
      <c r="N8" s="71">
        <v>100</v>
      </c>
      <c r="O8" s="320" t="s">
        <v>358</v>
      </c>
      <c r="P8" s="71">
        <v>100</v>
      </c>
      <c r="Q8" s="71"/>
      <c r="R8" s="71"/>
      <c r="S8" s="71"/>
      <c r="T8" s="232">
        <v>1020299</v>
      </c>
      <c r="U8" s="72"/>
      <c r="V8" s="172">
        <v>3500000000</v>
      </c>
      <c r="W8" s="172">
        <f>4044687242+268650899</f>
        <v>4313338141</v>
      </c>
      <c r="X8" s="172">
        <f>+V8+W8</f>
        <v>7813338141</v>
      </c>
      <c r="Y8" s="288"/>
      <c r="Z8" s="288"/>
      <c r="AA8" s="288"/>
      <c r="AB8" s="288"/>
      <c r="AC8" s="288">
        <v>4729916752</v>
      </c>
      <c r="AD8" s="288">
        <v>3047960291</v>
      </c>
      <c r="AE8" s="288"/>
      <c r="AF8" s="289"/>
      <c r="AG8" s="289">
        <f>+AC8+AD8+AE8+AF8</f>
        <v>7777877043</v>
      </c>
      <c r="AH8" s="375">
        <f>+AG8/X8</f>
        <v>0.99546146635918387</v>
      </c>
      <c r="AI8" s="289"/>
      <c r="AJ8" s="289"/>
      <c r="AK8" s="289"/>
      <c r="AL8" s="289"/>
      <c r="AM8" s="289"/>
      <c r="AN8" s="289"/>
      <c r="AO8" s="289"/>
      <c r="AP8" s="289"/>
      <c r="AQ8" s="290" t="s">
        <v>342</v>
      </c>
      <c r="AR8" s="290" t="s">
        <v>342</v>
      </c>
      <c r="AS8" s="167"/>
    </row>
    <row r="9" spans="1:50" s="1" customFormat="1" ht="99.75" customHeight="1" thickBot="1">
      <c r="A9" s="752"/>
      <c r="B9" s="752"/>
      <c r="C9" s="752"/>
      <c r="D9" s="752"/>
      <c r="E9" s="752"/>
      <c r="F9" s="752"/>
      <c r="G9" s="752"/>
      <c r="H9" s="67" t="s">
        <v>17</v>
      </c>
      <c r="I9" s="68" t="s">
        <v>51</v>
      </c>
      <c r="J9" s="68">
        <v>0</v>
      </c>
      <c r="K9" s="69"/>
      <c r="L9" s="738" t="s">
        <v>142</v>
      </c>
      <c r="M9" s="70" t="s">
        <v>507</v>
      </c>
      <c r="N9" s="71">
        <v>100</v>
      </c>
      <c r="O9" s="320" t="s">
        <v>358</v>
      </c>
      <c r="P9" s="71">
        <v>100</v>
      </c>
      <c r="Q9" s="71">
        <v>0</v>
      </c>
      <c r="R9" s="71">
        <v>0</v>
      </c>
      <c r="S9" s="71">
        <v>0</v>
      </c>
      <c r="T9" s="1036" t="s">
        <v>346</v>
      </c>
      <c r="U9" s="1033"/>
      <c r="V9" s="747">
        <v>1231229362</v>
      </c>
      <c r="W9" s="219"/>
      <c r="X9" s="747">
        <f>V9</f>
        <v>1231229362</v>
      </c>
      <c r="Y9" s="291"/>
      <c r="Z9" s="291"/>
      <c r="AA9" s="291"/>
      <c r="AB9" s="291"/>
      <c r="AC9" s="291">
        <v>82214410</v>
      </c>
      <c r="AD9" s="291">
        <v>35168262</v>
      </c>
      <c r="AE9" s="291"/>
      <c r="AF9" s="292"/>
      <c r="AG9" s="289">
        <f t="shared" ref="AG9:AG60" si="0">+AC9+AD9+AE9+AF9</f>
        <v>117382672</v>
      </c>
      <c r="AH9" s="1023">
        <f>+(AG9+AG10+AG11)/X9</f>
        <v>0.28601333745645352</v>
      </c>
      <c r="AI9" s="292"/>
      <c r="AJ9" s="292"/>
      <c r="AK9" s="292"/>
      <c r="AL9" s="292"/>
      <c r="AM9" s="292"/>
      <c r="AN9" s="292"/>
      <c r="AO9" s="292"/>
      <c r="AP9" s="292"/>
      <c r="AQ9" s="290" t="s">
        <v>342</v>
      </c>
      <c r="AR9" s="290" t="s">
        <v>342</v>
      </c>
      <c r="AS9" s="809" t="s">
        <v>341</v>
      </c>
    </row>
    <row r="10" spans="1:50" s="1" customFormat="1" ht="99.75" customHeight="1" thickBot="1">
      <c r="A10" s="752"/>
      <c r="B10" s="752"/>
      <c r="C10" s="752"/>
      <c r="D10" s="752"/>
      <c r="E10" s="752"/>
      <c r="F10" s="752"/>
      <c r="G10" s="752"/>
      <c r="H10" s="73"/>
      <c r="I10" s="231"/>
      <c r="J10" s="231"/>
      <c r="K10" s="74"/>
      <c r="L10" s="735"/>
      <c r="M10" s="199" t="s">
        <v>508</v>
      </c>
      <c r="N10" s="193">
        <v>100</v>
      </c>
      <c r="O10" s="320" t="s">
        <v>358</v>
      </c>
      <c r="P10" s="193">
        <v>100</v>
      </c>
      <c r="Q10" s="193">
        <v>0</v>
      </c>
      <c r="R10" s="193">
        <v>0</v>
      </c>
      <c r="S10" s="193">
        <v>0</v>
      </c>
      <c r="T10" s="1037"/>
      <c r="U10" s="1034"/>
      <c r="V10" s="748"/>
      <c r="W10" s="220"/>
      <c r="X10" s="748"/>
      <c r="Y10" s="291"/>
      <c r="Z10" s="291"/>
      <c r="AA10" s="291"/>
      <c r="AB10" s="291"/>
      <c r="AC10" s="291">
        <v>82214412</v>
      </c>
      <c r="AD10" s="291">
        <v>35168263</v>
      </c>
      <c r="AE10" s="291"/>
      <c r="AF10" s="292"/>
      <c r="AG10" s="289">
        <f t="shared" si="0"/>
        <v>117382675</v>
      </c>
      <c r="AH10" s="1063"/>
      <c r="AI10" s="292"/>
      <c r="AJ10" s="292"/>
      <c r="AK10" s="292"/>
      <c r="AL10" s="292"/>
      <c r="AM10" s="292"/>
      <c r="AN10" s="292"/>
      <c r="AO10" s="292"/>
      <c r="AP10" s="292"/>
      <c r="AQ10" s="290" t="s">
        <v>342</v>
      </c>
      <c r="AR10" s="290" t="s">
        <v>342</v>
      </c>
      <c r="AS10" s="810"/>
    </row>
    <row r="11" spans="1:50" s="1" customFormat="1" ht="99.75" customHeight="1" thickBot="1">
      <c r="A11" s="752"/>
      <c r="B11" s="752"/>
      <c r="C11" s="752"/>
      <c r="D11" s="752"/>
      <c r="E11" s="752"/>
      <c r="F11" s="752"/>
      <c r="G11" s="766"/>
      <c r="H11" s="73"/>
      <c r="I11" s="231"/>
      <c r="J11" s="231"/>
      <c r="K11" s="74"/>
      <c r="L11" s="735"/>
      <c r="M11" s="199" t="s">
        <v>509</v>
      </c>
      <c r="N11" s="193">
        <v>100</v>
      </c>
      <c r="O11" s="321" t="s">
        <v>510</v>
      </c>
      <c r="P11" s="193">
        <v>25</v>
      </c>
      <c r="Q11" s="193">
        <v>25</v>
      </c>
      <c r="R11" s="193">
        <v>25</v>
      </c>
      <c r="S11" s="193">
        <v>25</v>
      </c>
      <c r="T11" s="1038"/>
      <c r="U11" s="1035"/>
      <c r="V11" s="749"/>
      <c r="W11" s="221"/>
      <c r="X11" s="749"/>
      <c r="Y11" s="291"/>
      <c r="Z11" s="291"/>
      <c r="AA11" s="291"/>
      <c r="AB11" s="291"/>
      <c r="AC11" s="291">
        <v>82214410</v>
      </c>
      <c r="AD11" s="291">
        <v>35168262</v>
      </c>
      <c r="AE11" s="291"/>
      <c r="AF11" s="292"/>
      <c r="AG11" s="289">
        <f t="shared" si="0"/>
        <v>117382672</v>
      </c>
      <c r="AH11" s="1024"/>
      <c r="AI11" s="292"/>
      <c r="AJ11" s="292"/>
      <c r="AK11" s="292"/>
      <c r="AL11" s="292"/>
      <c r="AM11" s="292"/>
      <c r="AN11" s="292"/>
      <c r="AO11" s="292"/>
      <c r="AP11" s="292"/>
      <c r="AQ11" s="290" t="s">
        <v>342</v>
      </c>
      <c r="AR11" s="290" t="s">
        <v>342</v>
      </c>
      <c r="AS11" s="810"/>
    </row>
    <row r="12" spans="1:50" s="1" customFormat="1" ht="99.75" customHeight="1" thickBot="1">
      <c r="A12" s="752"/>
      <c r="B12" s="752"/>
      <c r="C12" s="752"/>
      <c r="D12" s="752"/>
      <c r="E12" s="752"/>
      <c r="F12" s="752"/>
      <c r="G12" s="765" t="s">
        <v>138</v>
      </c>
      <c r="H12" s="73" t="s">
        <v>17</v>
      </c>
      <c r="I12" s="231" t="s">
        <v>51</v>
      </c>
      <c r="J12" s="231">
        <v>0</v>
      </c>
      <c r="K12" s="74"/>
      <c r="L12" s="735"/>
      <c r="M12" s="199" t="s">
        <v>511</v>
      </c>
      <c r="N12" s="200">
        <v>0.8</v>
      </c>
      <c r="O12" s="321" t="s">
        <v>358</v>
      </c>
      <c r="P12" s="193">
        <v>0</v>
      </c>
      <c r="Q12" s="193">
        <v>50</v>
      </c>
      <c r="R12" s="193">
        <v>25</v>
      </c>
      <c r="S12" s="193">
        <v>25</v>
      </c>
      <c r="T12" s="1036" t="s">
        <v>343</v>
      </c>
      <c r="U12" s="234"/>
      <c r="V12" s="1064">
        <v>1922861724</v>
      </c>
      <c r="W12" s="1064">
        <f>100000000+610000000</f>
        <v>710000000</v>
      </c>
      <c r="X12" s="1064">
        <f>+V12+W12</f>
        <v>2632861724</v>
      </c>
      <c r="Y12" s="291"/>
      <c r="Z12" s="291"/>
      <c r="AA12" s="291"/>
      <c r="AB12" s="291"/>
      <c r="AC12" s="1052">
        <v>512607684</v>
      </c>
      <c r="AD12" s="1052">
        <v>481441703</v>
      </c>
      <c r="AE12" s="1049"/>
      <c r="AF12" s="1049"/>
      <c r="AG12" s="1052">
        <f>+AC12+AD12+AE12+AF12</f>
        <v>994049387</v>
      </c>
      <c r="AH12" s="1055">
        <f t="shared" ref="AH12:AH72" si="1">+AG12/X12</f>
        <v>0.37755472607569418</v>
      </c>
      <c r="AI12" s="292"/>
      <c r="AJ12" s="292"/>
      <c r="AK12" s="292"/>
      <c r="AL12" s="292"/>
      <c r="AM12" s="292"/>
      <c r="AN12" s="292"/>
      <c r="AO12" s="292"/>
      <c r="AP12" s="292"/>
      <c r="AQ12" s="290" t="s">
        <v>342</v>
      </c>
      <c r="AR12" s="290" t="s">
        <v>342</v>
      </c>
      <c r="AS12" s="810"/>
    </row>
    <row r="13" spans="1:50" s="1" customFormat="1" ht="99.75" customHeight="1" thickBot="1">
      <c r="A13" s="752"/>
      <c r="B13" s="752"/>
      <c r="C13" s="752"/>
      <c r="D13" s="752"/>
      <c r="E13" s="752"/>
      <c r="F13" s="752"/>
      <c r="G13" s="752"/>
      <c r="H13" s="73"/>
      <c r="I13" s="231"/>
      <c r="J13" s="231"/>
      <c r="K13" s="74"/>
      <c r="L13" s="735"/>
      <c r="M13" s="199" t="s">
        <v>512</v>
      </c>
      <c r="N13" s="283">
        <v>1</v>
      </c>
      <c r="O13" s="193" t="s">
        <v>513</v>
      </c>
      <c r="P13" s="193">
        <v>0</v>
      </c>
      <c r="Q13" s="193">
        <v>0</v>
      </c>
      <c r="R13" s="193">
        <v>0</v>
      </c>
      <c r="S13" s="193">
        <v>1</v>
      </c>
      <c r="T13" s="1037"/>
      <c r="U13" s="234"/>
      <c r="V13" s="1064"/>
      <c r="W13" s="1064"/>
      <c r="X13" s="1064"/>
      <c r="Y13" s="291"/>
      <c r="Z13" s="291"/>
      <c r="AA13" s="291"/>
      <c r="AB13" s="291"/>
      <c r="AC13" s="1053"/>
      <c r="AD13" s="1053"/>
      <c r="AE13" s="1050"/>
      <c r="AF13" s="1050"/>
      <c r="AG13" s="1053"/>
      <c r="AH13" s="1056"/>
      <c r="AI13" s="292"/>
      <c r="AJ13" s="292"/>
      <c r="AK13" s="292"/>
      <c r="AL13" s="292"/>
      <c r="AM13" s="292"/>
      <c r="AN13" s="292"/>
      <c r="AO13" s="292"/>
      <c r="AP13" s="292"/>
      <c r="AQ13" s="290"/>
      <c r="AR13" s="290"/>
      <c r="AS13" s="810"/>
    </row>
    <row r="14" spans="1:50" s="1" customFormat="1" ht="99.75" customHeight="1" thickBot="1">
      <c r="A14" s="752"/>
      <c r="B14" s="752"/>
      <c r="C14" s="752"/>
      <c r="D14" s="752"/>
      <c r="E14" s="752"/>
      <c r="F14" s="752"/>
      <c r="G14" s="753"/>
      <c r="H14" s="73"/>
      <c r="I14" s="231"/>
      <c r="J14" s="231"/>
      <c r="K14" s="74"/>
      <c r="L14" s="735"/>
      <c r="M14" s="199" t="s">
        <v>514</v>
      </c>
      <c r="N14" s="193">
        <v>100</v>
      </c>
      <c r="O14" s="321" t="s">
        <v>510</v>
      </c>
      <c r="P14" s="193">
        <v>0</v>
      </c>
      <c r="Q14" s="193">
        <v>0</v>
      </c>
      <c r="R14" s="193">
        <v>0</v>
      </c>
      <c r="S14" s="193">
        <v>100</v>
      </c>
      <c r="T14" s="1038"/>
      <c r="U14" s="234"/>
      <c r="V14" s="1064"/>
      <c r="W14" s="1064"/>
      <c r="X14" s="1064"/>
      <c r="Y14" s="291"/>
      <c r="Z14" s="291"/>
      <c r="AA14" s="291"/>
      <c r="AB14" s="291"/>
      <c r="AC14" s="1053"/>
      <c r="AD14" s="1053"/>
      <c r="AE14" s="1050"/>
      <c r="AF14" s="1050"/>
      <c r="AG14" s="1053"/>
      <c r="AH14" s="1056"/>
      <c r="AI14" s="292"/>
      <c r="AJ14" s="292"/>
      <c r="AK14" s="292"/>
      <c r="AL14" s="292"/>
      <c r="AM14" s="292"/>
      <c r="AN14" s="292"/>
      <c r="AO14" s="292"/>
      <c r="AP14" s="292"/>
      <c r="AQ14" s="290"/>
      <c r="AR14" s="290"/>
      <c r="AS14" s="810"/>
    </row>
    <row r="15" spans="1:50" s="1" customFormat="1" ht="99.75" customHeight="1" thickBot="1">
      <c r="A15" s="752"/>
      <c r="B15" s="752"/>
      <c r="C15" s="752"/>
      <c r="D15" s="752"/>
      <c r="E15" s="752"/>
      <c r="F15" s="752"/>
      <c r="G15" s="754" t="s">
        <v>140</v>
      </c>
      <c r="H15" s="73" t="s">
        <v>17</v>
      </c>
      <c r="I15" s="231" t="s">
        <v>51</v>
      </c>
      <c r="J15" s="231">
        <v>0</v>
      </c>
      <c r="K15" s="74"/>
      <c r="L15" s="735"/>
      <c r="M15" s="199" t="s">
        <v>515</v>
      </c>
      <c r="N15" s="283">
        <v>1</v>
      </c>
      <c r="O15" s="193" t="s">
        <v>513</v>
      </c>
      <c r="P15" s="193">
        <v>0</v>
      </c>
      <c r="Q15" s="193">
        <v>0</v>
      </c>
      <c r="R15" s="193">
        <v>1</v>
      </c>
      <c r="S15" s="193">
        <v>0</v>
      </c>
      <c r="T15" s="1036" t="s">
        <v>343</v>
      </c>
      <c r="U15" s="234"/>
      <c r="V15" s="1064"/>
      <c r="W15" s="1064"/>
      <c r="X15" s="1064"/>
      <c r="Y15" s="291"/>
      <c r="Z15" s="291"/>
      <c r="AA15" s="291"/>
      <c r="AB15" s="291"/>
      <c r="AC15" s="1053"/>
      <c r="AD15" s="1053"/>
      <c r="AE15" s="1050"/>
      <c r="AF15" s="1050"/>
      <c r="AG15" s="1053"/>
      <c r="AH15" s="1056"/>
      <c r="AI15" s="292"/>
      <c r="AJ15" s="292"/>
      <c r="AK15" s="292"/>
      <c r="AL15" s="292"/>
      <c r="AM15" s="292"/>
      <c r="AN15" s="292"/>
      <c r="AO15" s="292"/>
      <c r="AP15" s="292"/>
      <c r="AQ15" s="290" t="s">
        <v>342</v>
      </c>
      <c r="AR15" s="290" t="s">
        <v>342</v>
      </c>
      <c r="AS15" s="810"/>
    </row>
    <row r="16" spans="1:50" s="1" customFormat="1" ht="99.75" customHeight="1" thickBot="1">
      <c r="A16" s="752"/>
      <c r="B16" s="752"/>
      <c r="C16" s="752"/>
      <c r="D16" s="752"/>
      <c r="E16" s="752"/>
      <c r="F16" s="752"/>
      <c r="G16" s="752"/>
      <c r="H16" s="73"/>
      <c r="I16" s="231"/>
      <c r="J16" s="231"/>
      <c r="K16" s="74"/>
      <c r="L16" s="735"/>
      <c r="M16" s="199" t="s">
        <v>514</v>
      </c>
      <c r="N16" s="193">
        <v>100</v>
      </c>
      <c r="O16" s="321" t="s">
        <v>510</v>
      </c>
      <c r="P16" s="193">
        <v>0</v>
      </c>
      <c r="Q16" s="193">
        <v>0</v>
      </c>
      <c r="R16" s="193">
        <v>100</v>
      </c>
      <c r="S16" s="193">
        <v>0</v>
      </c>
      <c r="T16" s="1037"/>
      <c r="U16" s="234"/>
      <c r="V16" s="1064"/>
      <c r="W16" s="1064"/>
      <c r="X16" s="1064"/>
      <c r="Y16" s="291"/>
      <c r="Z16" s="291"/>
      <c r="AA16" s="291"/>
      <c r="AB16" s="291"/>
      <c r="AC16" s="1053"/>
      <c r="AD16" s="1053"/>
      <c r="AE16" s="1050"/>
      <c r="AF16" s="1050"/>
      <c r="AG16" s="1053"/>
      <c r="AH16" s="1056"/>
      <c r="AI16" s="292"/>
      <c r="AJ16" s="292"/>
      <c r="AK16" s="292"/>
      <c r="AL16" s="292"/>
      <c r="AM16" s="292"/>
      <c r="AN16" s="292"/>
      <c r="AO16" s="292"/>
      <c r="AP16" s="292"/>
      <c r="AQ16" s="290"/>
      <c r="AR16" s="290"/>
      <c r="AS16" s="810"/>
    </row>
    <row r="17" spans="1:45" s="1" customFormat="1" ht="99.75" customHeight="1" thickBot="1">
      <c r="A17" s="752"/>
      <c r="B17" s="752"/>
      <c r="C17" s="752"/>
      <c r="D17" s="752"/>
      <c r="E17" s="752"/>
      <c r="F17" s="752"/>
      <c r="G17" s="752"/>
      <c r="H17" s="73"/>
      <c r="I17" s="231"/>
      <c r="J17" s="231"/>
      <c r="K17" s="74"/>
      <c r="L17" s="735"/>
      <c r="M17" s="199" t="s">
        <v>516</v>
      </c>
      <c r="N17" s="193">
        <v>100</v>
      </c>
      <c r="O17" s="321" t="s">
        <v>510</v>
      </c>
      <c r="P17" s="193">
        <v>0</v>
      </c>
      <c r="Q17" s="193">
        <v>25</v>
      </c>
      <c r="R17" s="193">
        <v>75</v>
      </c>
      <c r="S17" s="193">
        <v>0</v>
      </c>
      <c r="T17" s="1037"/>
      <c r="U17" s="234"/>
      <c r="V17" s="1064"/>
      <c r="W17" s="1064"/>
      <c r="X17" s="1064"/>
      <c r="Y17" s="291"/>
      <c r="Z17" s="291"/>
      <c r="AA17" s="291"/>
      <c r="AB17" s="291"/>
      <c r="AC17" s="1053"/>
      <c r="AD17" s="1053"/>
      <c r="AE17" s="1050"/>
      <c r="AF17" s="1050"/>
      <c r="AG17" s="1053"/>
      <c r="AH17" s="1056"/>
      <c r="AI17" s="292"/>
      <c r="AJ17" s="292"/>
      <c r="AK17" s="292"/>
      <c r="AL17" s="292"/>
      <c r="AM17" s="292"/>
      <c r="AN17" s="292"/>
      <c r="AO17" s="292"/>
      <c r="AP17" s="292"/>
      <c r="AQ17" s="290"/>
      <c r="AR17" s="290"/>
      <c r="AS17" s="810"/>
    </row>
    <row r="18" spans="1:45" s="1" customFormat="1" ht="99.75" customHeight="1" thickBot="1">
      <c r="A18" s="752"/>
      <c r="B18" s="752"/>
      <c r="C18" s="752"/>
      <c r="D18" s="752"/>
      <c r="E18" s="752"/>
      <c r="F18" s="752"/>
      <c r="G18" s="753"/>
      <c r="H18" s="73"/>
      <c r="I18" s="231"/>
      <c r="J18" s="231"/>
      <c r="K18" s="74"/>
      <c r="L18" s="735"/>
      <c r="M18" s="199" t="s">
        <v>517</v>
      </c>
      <c r="N18" s="193">
        <v>100</v>
      </c>
      <c r="O18" s="321" t="s">
        <v>510</v>
      </c>
      <c r="P18" s="193">
        <v>0</v>
      </c>
      <c r="Q18" s="193">
        <v>50</v>
      </c>
      <c r="R18" s="193">
        <v>50</v>
      </c>
      <c r="S18" s="193"/>
      <c r="T18" s="1038"/>
      <c r="U18" s="234"/>
      <c r="V18" s="1064"/>
      <c r="W18" s="1064"/>
      <c r="X18" s="1064"/>
      <c r="Y18" s="291"/>
      <c r="Z18" s="291"/>
      <c r="AA18" s="291"/>
      <c r="AB18" s="291"/>
      <c r="AC18" s="1053"/>
      <c r="AD18" s="1053"/>
      <c r="AE18" s="1050"/>
      <c r="AF18" s="1050"/>
      <c r="AG18" s="1053"/>
      <c r="AH18" s="1056"/>
      <c r="AI18" s="292"/>
      <c r="AJ18" s="292"/>
      <c r="AK18" s="292"/>
      <c r="AL18" s="292"/>
      <c r="AM18" s="292"/>
      <c r="AN18" s="292"/>
      <c r="AO18" s="292"/>
      <c r="AP18" s="292"/>
      <c r="AQ18" s="290"/>
      <c r="AR18" s="290"/>
      <c r="AS18" s="810"/>
    </row>
    <row r="19" spans="1:45" s="1" customFormat="1" ht="99.75" customHeight="1" thickBot="1">
      <c r="A19" s="752"/>
      <c r="B19" s="752"/>
      <c r="C19" s="753"/>
      <c r="D19" s="753"/>
      <c r="E19" s="753"/>
      <c r="F19" s="753"/>
      <c r="G19" s="754" t="s">
        <v>141</v>
      </c>
      <c r="H19" s="73" t="s">
        <v>17</v>
      </c>
      <c r="I19" s="231" t="s">
        <v>51</v>
      </c>
      <c r="J19" s="231">
        <v>0</v>
      </c>
      <c r="K19" s="74"/>
      <c r="L19" s="755"/>
      <c r="M19" s="199" t="s">
        <v>518</v>
      </c>
      <c r="N19" s="283">
        <v>1</v>
      </c>
      <c r="O19" s="193" t="s">
        <v>513</v>
      </c>
      <c r="P19" s="193">
        <v>0</v>
      </c>
      <c r="Q19" s="193">
        <v>0</v>
      </c>
      <c r="R19" s="193">
        <v>0</v>
      </c>
      <c r="S19" s="193">
        <v>1</v>
      </c>
      <c r="T19" s="232" t="s">
        <v>343</v>
      </c>
      <c r="U19" s="234"/>
      <c r="V19" s="1064"/>
      <c r="W19" s="1064"/>
      <c r="X19" s="1064"/>
      <c r="Y19" s="291"/>
      <c r="Z19" s="291"/>
      <c r="AA19" s="291"/>
      <c r="AB19" s="291"/>
      <c r="AC19" s="1053"/>
      <c r="AD19" s="1053"/>
      <c r="AE19" s="1050"/>
      <c r="AF19" s="1050"/>
      <c r="AG19" s="1053"/>
      <c r="AH19" s="1056"/>
      <c r="AI19" s="292"/>
      <c r="AJ19" s="292"/>
      <c r="AK19" s="292"/>
      <c r="AL19" s="292"/>
      <c r="AM19" s="292"/>
      <c r="AN19" s="292"/>
      <c r="AO19" s="292"/>
      <c r="AP19" s="292"/>
      <c r="AQ19" s="290" t="s">
        <v>342</v>
      </c>
      <c r="AR19" s="290" t="s">
        <v>342</v>
      </c>
      <c r="AS19" s="810"/>
    </row>
    <row r="20" spans="1:45" s="1" customFormat="1" ht="99.75" customHeight="1" thickBot="1">
      <c r="A20" s="752"/>
      <c r="B20" s="752"/>
      <c r="C20" s="193"/>
      <c r="D20" s="193"/>
      <c r="E20" s="193"/>
      <c r="F20" s="192"/>
      <c r="G20" s="752"/>
      <c r="H20" s="73"/>
      <c r="I20" s="231"/>
      <c r="J20" s="231"/>
      <c r="K20" s="201"/>
      <c r="L20" s="230"/>
      <c r="M20" s="199" t="s">
        <v>514</v>
      </c>
      <c r="N20" s="193">
        <v>100</v>
      </c>
      <c r="O20" s="321" t="s">
        <v>510</v>
      </c>
      <c r="P20" s="193">
        <v>0</v>
      </c>
      <c r="Q20" s="193">
        <v>0</v>
      </c>
      <c r="R20" s="193">
        <v>50</v>
      </c>
      <c r="S20" s="193">
        <v>50</v>
      </c>
      <c r="T20" s="232"/>
      <c r="U20" s="234"/>
      <c r="V20" s="1064"/>
      <c r="W20" s="1064"/>
      <c r="X20" s="1064"/>
      <c r="Y20" s="291"/>
      <c r="Z20" s="291"/>
      <c r="AA20" s="291"/>
      <c r="AB20" s="291"/>
      <c r="AC20" s="1053"/>
      <c r="AD20" s="1053"/>
      <c r="AE20" s="1050"/>
      <c r="AF20" s="1050"/>
      <c r="AG20" s="1053"/>
      <c r="AH20" s="1056"/>
      <c r="AI20" s="292"/>
      <c r="AJ20" s="292"/>
      <c r="AK20" s="292"/>
      <c r="AL20" s="292"/>
      <c r="AM20" s="292"/>
      <c r="AN20" s="292"/>
      <c r="AO20" s="292"/>
      <c r="AP20" s="292"/>
      <c r="AQ20" s="290"/>
      <c r="AR20" s="290"/>
      <c r="AS20" s="810"/>
    </row>
    <row r="21" spans="1:45" s="1" customFormat="1" ht="99.75" customHeight="1" thickBot="1">
      <c r="A21" s="752"/>
      <c r="B21" s="752"/>
      <c r="C21" s="193"/>
      <c r="D21" s="193"/>
      <c r="E21" s="193"/>
      <c r="F21" s="192"/>
      <c r="G21" s="752"/>
      <c r="H21" s="73"/>
      <c r="I21" s="231"/>
      <c r="J21" s="231"/>
      <c r="K21" s="201"/>
      <c r="L21" s="230"/>
      <c r="M21" s="199" t="s">
        <v>519</v>
      </c>
      <c r="N21" s="193">
        <v>100</v>
      </c>
      <c r="O21" s="321" t="s">
        <v>510</v>
      </c>
      <c r="P21" s="193">
        <v>0</v>
      </c>
      <c r="Q21" s="193">
        <v>0</v>
      </c>
      <c r="R21" s="193">
        <v>50</v>
      </c>
      <c r="S21" s="193">
        <v>50</v>
      </c>
      <c r="T21" s="232"/>
      <c r="U21" s="234"/>
      <c r="V21" s="1064"/>
      <c r="W21" s="1064"/>
      <c r="X21" s="1064"/>
      <c r="Y21" s="291"/>
      <c r="Z21" s="291"/>
      <c r="AA21" s="291"/>
      <c r="AB21" s="291"/>
      <c r="AC21" s="1053"/>
      <c r="AD21" s="1053"/>
      <c r="AE21" s="1050"/>
      <c r="AF21" s="1050"/>
      <c r="AG21" s="1053"/>
      <c r="AH21" s="1056"/>
      <c r="AI21" s="292"/>
      <c r="AJ21" s="292"/>
      <c r="AK21" s="292"/>
      <c r="AL21" s="292"/>
      <c r="AM21" s="292"/>
      <c r="AN21" s="292"/>
      <c r="AO21" s="292"/>
      <c r="AP21" s="292"/>
      <c r="AQ21" s="290"/>
      <c r="AR21" s="290"/>
      <c r="AS21" s="810"/>
    </row>
    <row r="22" spans="1:45" s="1" customFormat="1" ht="99.75" customHeight="1" thickBot="1">
      <c r="A22" s="752"/>
      <c r="B22" s="752"/>
      <c r="C22" s="193"/>
      <c r="D22" s="193"/>
      <c r="E22" s="193"/>
      <c r="F22" s="192"/>
      <c r="G22" s="753"/>
      <c r="H22" s="73"/>
      <c r="I22" s="231"/>
      <c r="J22" s="231"/>
      <c r="K22" s="201"/>
      <c r="L22" s="230"/>
      <c r="M22" s="199" t="s">
        <v>517</v>
      </c>
      <c r="N22" s="193">
        <v>100</v>
      </c>
      <c r="O22" s="321" t="s">
        <v>510</v>
      </c>
      <c r="P22" s="193">
        <v>0</v>
      </c>
      <c r="Q22" s="193">
        <v>0</v>
      </c>
      <c r="R22" s="193">
        <v>50</v>
      </c>
      <c r="S22" s="193">
        <v>50</v>
      </c>
      <c r="T22" s="232"/>
      <c r="U22" s="234"/>
      <c r="V22" s="1064"/>
      <c r="W22" s="1064"/>
      <c r="X22" s="1064"/>
      <c r="Y22" s="291"/>
      <c r="Z22" s="291"/>
      <c r="AA22" s="291"/>
      <c r="AB22" s="291"/>
      <c r="AC22" s="1053"/>
      <c r="AD22" s="1053"/>
      <c r="AE22" s="1050"/>
      <c r="AF22" s="1050"/>
      <c r="AG22" s="1053"/>
      <c r="AH22" s="1056"/>
      <c r="AI22" s="292"/>
      <c r="AJ22" s="292"/>
      <c r="AK22" s="292"/>
      <c r="AL22" s="292"/>
      <c r="AM22" s="292"/>
      <c r="AN22" s="292"/>
      <c r="AO22" s="292"/>
      <c r="AP22" s="292"/>
      <c r="AQ22" s="290"/>
      <c r="AR22" s="290"/>
      <c r="AS22" s="810"/>
    </row>
    <row r="23" spans="1:45" s="1" customFormat="1" ht="99.75" customHeight="1" thickBot="1">
      <c r="A23" s="752"/>
      <c r="B23" s="752"/>
      <c r="C23" s="193"/>
      <c r="D23" s="193"/>
      <c r="E23" s="193"/>
      <c r="F23" s="192"/>
      <c r="G23" s="754" t="s">
        <v>144</v>
      </c>
      <c r="H23" s="73"/>
      <c r="I23" s="231"/>
      <c r="J23" s="231"/>
      <c r="K23" s="201"/>
      <c r="L23" s="230"/>
      <c r="M23" s="199" t="s">
        <v>557</v>
      </c>
      <c r="N23" s="193">
        <v>100</v>
      </c>
      <c r="O23" s="321" t="s">
        <v>510</v>
      </c>
      <c r="P23" s="193">
        <v>25</v>
      </c>
      <c r="Q23" s="193">
        <v>25</v>
      </c>
      <c r="R23" s="193">
        <v>25</v>
      </c>
      <c r="S23" s="193">
        <v>25</v>
      </c>
      <c r="T23" s="232"/>
      <c r="U23" s="234"/>
      <c r="V23" s="1064"/>
      <c r="W23" s="1064"/>
      <c r="X23" s="1064"/>
      <c r="Y23" s="291"/>
      <c r="Z23" s="291"/>
      <c r="AA23" s="291"/>
      <c r="AB23" s="291"/>
      <c r="AC23" s="1053"/>
      <c r="AD23" s="1053"/>
      <c r="AE23" s="1050"/>
      <c r="AF23" s="1050"/>
      <c r="AG23" s="1053"/>
      <c r="AH23" s="1056"/>
      <c r="AI23" s="292"/>
      <c r="AJ23" s="292"/>
      <c r="AK23" s="292"/>
      <c r="AL23" s="292"/>
      <c r="AM23" s="292"/>
      <c r="AN23" s="292"/>
      <c r="AO23" s="292"/>
      <c r="AP23" s="292"/>
      <c r="AQ23" s="290"/>
      <c r="AR23" s="290"/>
      <c r="AS23" s="810"/>
    </row>
    <row r="24" spans="1:45" s="1" customFormat="1" ht="156.75" customHeight="1" thickBot="1">
      <c r="A24" s="752"/>
      <c r="B24" s="752"/>
      <c r="C24" s="75" t="s">
        <v>136</v>
      </c>
      <c r="D24" s="76" t="s">
        <v>53</v>
      </c>
      <c r="E24" s="76">
        <v>100</v>
      </c>
      <c r="F24" s="754" t="s">
        <v>143</v>
      </c>
      <c r="G24" s="752"/>
      <c r="H24" s="203" t="s">
        <v>18</v>
      </c>
      <c r="I24" s="204">
        <v>95</v>
      </c>
      <c r="J24" s="204">
        <v>95</v>
      </c>
      <c r="K24" s="734"/>
      <c r="L24" s="754" t="s">
        <v>156</v>
      </c>
      <c r="M24" s="205" t="s">
        <v>520</v>
      </c>
      <c r="N24" s="76">
        <v>100</v>
      </c>
      <c r="O24" s="322" t="s">
        <v>510</v>
      </c>
      <c r="P24" s="76">
        <v>25</v>
      </c>
      <c r="Q24" s="76">
        <v>25</v>
      </c>
      <c r="R24" s="76">
        <v>25</v>
      </c>
      <c r="S24" s="76">
        <v>25</v>
      </c>
      <c r="T24" s="232" t="s">
        <v>343</v>
      </c>
      <c r="U24" s="77"/>
      <c r="V24" s="1064"/>
      <c r="W24" s="1064"/>
      <c r="X24" s="1064"/>
      <c r="Y24" s="291"/>
      <c r="Z24" s="291"/>
      <c r="AA24" s="291"/>
      <c r="AB24" s="291"/>
      <c r="AC24" s="1053"/>
      <c r="AD24" s="1053"/>
      <c r="AE24" s="1050"/>
      <c r="AF24" s="1050"/>
      <c r="AG24" s="1053"/>
      <c r="AH24" s="1056"/>
      <c r="AI24" s="292"/>
      <c r="AJ24" s="292"/>
      <c r="AK24" s="292"/>
      <c r="AL24" s="292"/>
      <c r="AM24" s="292"/>
      <c r="AN24" s="292"/>
      <c r="AO24" s="292"/>
      <c r="AP24" s="292"/>
      <c r="AQ24" s="290" t="s">
        <v>342</v>
      </c>
      <c r="AR24" s="290" t="s">
        <v>342</v>
      </c>
      <c r="AS24" s="810"/>
    </row>
    <row r="25" spans="1:45" s="1" customFormat="1" ht="156.75" customHeight="1" thickBot="1">
      <c r="A25" s="752"/>
      <c r="B25" s="752"/>
      <c r="C25" s="202"/>
      <c r="D25" s="194"/>
      <c r="E25" s="194"/>
      <c r="F25" s="752"/>
      <c r="G25" s="753"/>
      <c r="H25" s="203"/>
      <c r="I25" s="204"/>
      <c r="J25" s="204"/>
      <c r="K25" s="735"/>
      <c r="L25" s="752"/>
      <c r="M25" s="205" t="s">
        <v>521</v>
      </c>
      <c r="N25" s="239">
        <v>1</v>
      </c>
      <c r="O25" s="76" t="s">
        <v>513</v>
      </c>
      <c r="P25" s="76">
        <v>1</v>
      </c>
      <c r="Q25" s="76">
        <v>0</v>
      </c>
      <c r="R25" s="76">
        <v>0</v>
      </c>
      <c r="S25" s="76">
        <v>0</v>
      </c>
      <c r="T25" s="232"/>
      <c r="U25" s="77"/>
      <c r="V25" s="1064"/>
      <c r="W25" s="1064"/>
      <c r="X25" s="1064"/>
      <c r="Y25" s="291"/>
      <c r="Z25" s="291"/>
      <c r="AA25" s="291"/>
      <c r="AB25" s="291"/>
      <c r="AC25" s="1053"/>
      <c r="AD25" s="1053"/>
      <c r="AE25" s="1050"/>
      <c r="AF25" s="1050"/>
      <c r="AG25" s="1053"/>
      <c r="AH25" s="1056"/>
      <c r="AI25" s="292"/>
      <c r="AJ25" s="292"/>
      <c r="AK25" s="292"/>
      <c r="AL25" s="292"/>
      <c r="AM25" s="292"/>
      <c r="AN25" s="292"/>
      <c r="AO25" s="292"/>
      <c r="AP25" s="292"/>
      <c r="AQ25" s="290"/>
      <c r="AR25" s="290"/>
      <c r="AS25" s="810"/>
    </row>
    <row r="26" spans="1:45" s="1" customFormat="1" ht="156.75" customHeight="1" thickBot="1">
      <c r="A26" s="752"/>
      <c r="B26" s="752"/>
      <c r="C26" s="202"/>
      <c r="D26" s="194"/>
      <c r="E26" s="194"/>
      <c r="F26" s="752"/>
      <c r="G26" s="754" t="s">
        <v>145</v>
      </c>
      <c r="H26" s="203"/>
      <c r="I26" s="204"/>
      <c r="J26" s="204"/>
      <c r="K26" s="735"/>
      <c r="L26" s="752"/>
      <c r="M26" s="205" t="s">
        <v>522</v>
      </c>
      <c r="N26" s="76">
        <v>100</v>
      </c>
      <c r="O26" s="322" t="s">
        <v>358</v>
      </c>
      <c r="P26" s="76">
        <v>50</v>
      </c>
      <c r="Q26" s="76">
        <v>25</v>
      </c>
      <c r="R26" s="76">
        <v>25</v>
      </c>
      <c r="S26" s="76">
        <v>0</v>
      </c>
      <c r="T26" s="232"/>
      <c r="U26" s="77"/>
      <c r="V26" s="1064"/>
      <c r="W26" s="1064"/>
      <c r="X26" s="1064"/>
      <c r="Y26" s="291"/>
      <c r="Z26" s="291"/>
      <c r="AA26" s="291"/>
      <c r="AB26" s="291"/>
      <c r="AC26" s="1053"/>
      <c r="AD26" s="1053"/>
      <c r="AE26" s="1050"/>
      <c r="AF26" s="1050"/>
      <c r="AG26" s="1053"/>
      <c r="AH26" s="1056"/>
      <c r="AI26" s="292"/>
      <c r="AJ26" s="292"/>
      <c r="AK26" s="292"/>
      <c r="AL26" s="292"/>
      <c r="AM26" s="292"/>
      <c r="AN26" s="292"/>
      <c r="AO26" s="292"/>
      <c r="AP26" s="292"/>
      <c r="AQ26" s="290"/>
      <c r="AR26" s="290"/>
      <c r="AS26" s="810"/>
    </row>
    <row r="27" spans="1:45" s="1" customFormat="1" ht="156.75" customHeight="1" thickBot="1">
      <c r="A27" s="752"/>
      <c r="B27" s="752"/>
      <c r="C27" s="754" t="s">
        <v>315</v>
      </c>
      <c r="D27" s="754" t="s">
        <v>17</v>
      </c>
      <c r="E27" s="754">
        <v>9</v>
      </c>
      <c r="F27" s="752"/>
      <c r="G27" s="753"/>
      <c r="H27" s="203" t="s">
        <v>86</v>
      </c>
      <c r="I27" s="204">
        <v>9.57</v>
      </c>
      <c r="J27" s="204">
        <v>9.57</v>
      </c>
      <c r="K27" s="735"/>
      <c r="L27" s="752"/>
      <c r="M27" s="205" t="s">
        <v>523</v>
      </c>
      <c r="N27" s="76">
        <v>100</v>
      </c>
      <c r="O27" s="322" t="s">
        <v>358</v>
      </c>
      <c r="P27" s="76">
        <v>25</v>
      </c>
      <c r="Q27" s="76">
        <v>25</v>
      </c>
      <c r="R27" s="76">
        <v>25</v>
      </c>
      <c r="S27" s="76">
        <v>25</v>
      </c>
      <c r="T27" s="232" t="s">
        <v>343</v>
      </c>
      <c r="U27" s="77"/>
      <c r="V27" s="1064"/>
      <c r="W27" s="1064"/>
      <c r="X27" s="1064"/>
      <c r="Y27" s="291"/>
      <c r="Z27" s="291"/>
      <c r="AA27" s="291"/>
      <c r="AB27" s="291"/>
      <c r="AC27" s="1053"/>
      <c r="AD27" s="1053"/>
      <c r="AE27" s="1050"/>
      <c r="AF27" s="1050"/>
      <c r="AG27" s="1053"/>
      <c r="AH27" s="1056"/>
      <c r="AI27" s="292"/>
      <c r="AJ27" s="292"/>
      <c r="AK27" s="292"/>
      <c r="AL27" s="292"/>
      <c r="AM27" s="292"/>
      <c r="AN27" s="292"/>
      <c r="AO27" s="292"/>
      <c r="AP27" s="292"/>
      <c r="AQ27" s="290" t="s">
        <v>342</v>
      </c>
      <c r="AR27" s="290" t="s">
        <v>342</v>
      </c>
      <c r="AS27" s="810"/>
    </row>
    <row r="28" spans="1:45" s="1" customFormat="1" ht="156.75" customHeight="1" thickBot="1">
      <c r="A28" s="752"/>
      <c r="B28" s="752"/>
      <c r="C28" s="752"/>
      <c r="D28" s="752"/>
      <c r="E28" s="752"/>
      <c r="F28" s="752"/>
      <c r="G28" s="754" t="s">
        <v>146</v>
      </c>
      <c r="H28" s="203"/>
      <c r="I28" s="204"/>
      <c r="J28" s="204"/>
      <c r="K28" s="735"/>
      <c r="L28" s="752"/>
      <c r="M28" s="205" t="s">
        <v>524</v>
      </c>
      <c r="N28" s="239">
        <v>2</v>
      </c>
      <c r="O28" s="76" t="s">
        <v>513</v>
      </c>
      <c r="P28" s="76">
        <v>1</v>
      </c>
      <c r="Q28" s="76">
        <v>1</v>
      </c>
      <c r="R28" s="76">
        <v>0</v>
      </c>
      <c r="S28" s="76">
        <v>0</v>
      </c>
      <c r="T28" s="232"/>
      <c r="U28" s="77"/>
      <c r="V28" s="1064"/>
      <c r="W28" s="1064"/>
      <c r="X28" s="1064"/>
      <c r="Y28" s="291"/>
      <c r="Z28" s="291"/>
      <c r="AA28" s="291"/>
      <c r="AB28" s="291"/>
      <c r="AC28" s="1053"/>
      <c r="AD28" s="1053"/>
      <c r="AE28" s="1050"/>
      <c r="AF28" s="1050"/>
      <c r="AG28" s="1053"/>
      <c r="AH28" s="1056"/>
      <c r="AI28" s="292"/>
      <c r="AJ28" s="292"/>
      <c r="AK28" s="292"/>
      <c r="AL28" s="292"/>
      <c r="AM28" s="292"/>
      <c r="AN28" s="292"/>
      <c r="AO28" s="292"/>
      <c r="AP28" s="292"/>
      <c r="AQ28" s="290"/>
      <c r="AR28" s="290"/>
      <c r="AS28" s="810"/>
    </row>
    <row r="29" spans="1:45" s="1" customFormat="1" ht="156.75" customHeight="1" thickBot="1">
      <c r="A29" s="752"/>
      <c r="B29" s="752"/>
      <c r="C29" s="752"/>
      <c r="D29" s="752"/>
      <c r="E29" s="752"/>
      <c r="F29" s="752"/>
      <c r="G29" s="752"/>
      <c r="H29" s="203"/>
      <c r="I29" s="204"/>
      <c r="J29" s="204"/>
      <c r="K29" s="735"/>
      <c r="L29" s="752"/>
      <c r="M29" s="205" t="s">
        <v>525</v>
      </c>
      <c r="N29" s="76">
        <v>100</v>
      </c>
      <c r="O29" s="322" t="s">
        <v>510</v>
      </c>
      <c r="P29" s="76">
        <v>25</v>
      </c>
      <c r="Q29" s="76">
        <v>25</v>
      </c>
      <c r="R29" s="76">
        <v>25</v>
      </c>
      <c r="S29" s="76">
        <v>25</v>
      </c>
      <c r="T29" s="232"/>
      <c r="U29" s="77"/>
      <c r="V29" s="1064"/>
      <c r="W29" s="1064"/>
      <c r="X29" s="1064"/>
      <c r="Y29" s="291"/>
      <c r="Z29" s="291"/>
      <c r="AA29" s="291"/>
      <c r="AB29" s="291"/>
      <c r="AC29" s="1053"/>
      <c r="AD29" s="1053"/>
      <c r="AE29" s="1050"/>
      <c r="AF29" s="1050"/>
      <c r="AG29" s="1053"/>
      <c r="AH29" s="1056"/>
      <c r="AI29" s="292"/>
      <c r="AJ29" s="292"/>
      <c r="AK29" s="292"/>
      <c r="AL29" s="292"/>
      <c r="AM29" s="292"/>
      <c r="AN29" s="292"/>
      <c r="AO29" s="292"/>
      <c r="AP29" s="292"/>
      <c r="AQ29" s="290"/>
      <c r="AR29" s="290"/>
      <c r="AS29" s="810"/>
    </row>
    <row r="30" spans="1:45" s="1" customFormat="1" ht="156.75" customHeight="1" thickBot="1">
      <c r="A30" s="752"/>
      <c r="B30" s="752"/>
      <c r="C30" s="752"/>
      <c r="D30" s="752"/>
      <c r="E30" s="752"/>
      <c r="F30" s="752"/>
      <c r="G30" s="753"/>
      <c r="H30" s="203" t="s">
        <v>86</v>
      </c>
      <c r="I30" s="204">
        <v>10.9</v>
      </c>
      <c r="J30" s="204">
        <v>10</v>
      </c>
      <c r="K30" s="735"/>
      <c r="L30" s="752"/>
      <c r="M30" s="205" t="s">
        <v>526</v>
      </c>
      <c r="N30" s="76">
        <v>100</v>
      </c>
      <c r="O30" s="322" t="s">
        <v>510</v>
      </c>
      <c r="P30" s="76">
        <v>25</v>
      </c>
      <c r="Q30" s="76">
        <v>25</v>
      </c>
      <c r="R30" s="76">
        <v>25</v>
      </c>
      <c r="S30" s="76">
        <v>25</v>
      </c>
      <c r="T30" s="232" t="s">
        <v>343</v>
      </c>
      <c r="U30" s="77"/>
      <c r="V30" s="1064"/>
      <c r="W30" s="1064"/>
      <c r="X30" s="1064"/>
      <c r="Y30" s="291"/>
      <c r="Z30" s="291"/>
      <c r="AA30" s="291"/>
      <c r="AB30" s="291"/>
      <c r="AC30" s="1053"/>
      <c r="AD30" s="1053"/>
      <c r="AE30" s="1050"/>
      <c r="AF30" s="1050"/>
      <c r="AG30" s="1053"/>
      <c r="AH30" s="1056"/>
      <c r="AI30" s="292"/>
      <c r="AJ30" s="292"/>
      <c r="AK30" s="292"/>
      <c r="AL30" s="292"/>
      <c r="AM30" s="292"/>
      <c r="AN30" s="292"/>
      <c r="AO30" s="292"/>
      <c r="AP30" s="292"/>
      <c r="AQ30" s="290" t="s">
        <v>342</v>
      </c>
      <c r="AR30" s="290" t="s">
        <v>342</v>
      </c>
      <c r="AS30" s="810"/>
    </row>
    <row r="31" spans="1:45" s="1" customFormat="1" ht="156.75" customHeight="1" thickBot="1">
      <c r="A31" s="752"/>
      <c r="B31" s="752"/>
      <c r="C31" s="752"/>
      <c r="D31" s="752"/>
      <c r="E31" s="752"/>
      <c r="F31" s="752"/>
      <c r="G31" s="754" t="s">
        <v>147</v>
      </c>
      <c r="H31" s="203"/>
      <c r="I31" s="204"/>
      <c r="J31" s="204"/>
      <c r="K31" s="735"/>
      <c r="L31" s="752"/>
      <c r="M31" s="205" t="s">
        <v>527</v>
      </c>
      <c r="N31" s="239">
        <v>1</v>
      </c>
      <c r="O31" s="76" t="s">
        <v>513</v>
      </c>
      <c r="P31" s="76">
        <v>1</v>
      </c>
      <c r="Q31" s="76">
        <v>0</v>
      </c>
      <c r="R31" s="76">
        <v>0</v>
      </c>
      <c r="S31" s="76">
        <v>0</v>
      </c>
      <c r="T31" s="232"/>
      <c r="U31" s="77"/>
      <c r="V31" s="1064"/>
      <c r="W31" s="1064"/>
      <c r="X31" s="1064"/>
      <c r="Y31" s="291"/>
      <c r="Z31" s="291"/>
      <c r="AA31" s="291"/>
      <c r="AB31" s="291"/>
      <c r="AC31" s="1054"/>
      <c r="AD31" s="1054"/>
      <c r="AE31" s="1051"/>
      <c r="AF31" s="1051"/>
      <c r="AG31" s="1054"/>
      <c r="AH31" s="1057"/>
      <c r="AI31" s="292"/>
      <c r="AJ31" s="292"/>
      <c r="AK31" s="292"/>
      <c r="AL31" s="292"/>
      <c r="AM31" s="292"/>
      <c r="AN31" s="292"/>
      <c r="AO31" s="292"/>
      <c r="AP31" s="292"/>
      <c r="AQ31" s="290"/>
      <c r="AR31" s="290"/>
      <c r="AS31" s="810"/>
    </row>
    <row r="32" spans="1:45" s="1" customFormat="1" ht="156.75" customHeight="1" thickBot="1">
      <c r="A32" s="752"/>
      <c r="B32" s="752"/>
      <c r="C32" s="752"/>
      <c r="D32" s="752"/>
      <c r="E32" s="752"/>
      <c r="F32" s="752"/>
      <c r="G32" s="752"/>
      <c r="H32" s="203"/>
      <c r="I32" s="204"/>
      <c r="J32" s="204"/>
      <c r="K32" s="735"/>
      <c r="L32" s="752"/>
      <c r="M32" s="205" t="s">
        <v>528</v>
      </c>
      <c r="N32" s="76">
        <v>100</v>
      </c>
      <c r="O32" s="322" t="s">
        <v>510</v>
      </c>
      <c r="P32" s="76">
        <v>25</v>
      </c>
      <c r="Q32" s="76">
        <v>25</v>
      </c>
      <c r="R32" s="76">
        <v>25</v>
      </c>
      <c r="S32" s="76">
        <v>25</v>
      </c>
      <c r="T32" s="232"/>
      <c r="U32" s="77"/>
      <c r="V32" s="1064">
        <f>28346272942-400000000</f>
        <v>27946272942</v>
      </c>
      <c r="W32" s="1064">
        <f>1535000000-500000000+1362586365</f>
        <v>2397586365</v>
      </c>
      <c r="X32" s="1064">
        <f>+V32+W32</f>
        <v>30343859307</v>
      </c>
      <c r="Y32" s="291"/>
      <c r="Z32" s="291"/>
      <c r="AA32" s="291"/>
      <c r="AB32" s="291"/>
      <c r="AC32" s="1052">
        <v>9268041198</v>
      </c>
      <c r="AD32" s="1052">
        <v>3097137945</v>
      </c>
      <c r="AE32" s="1049"/>
      <c r="AF32" s="1049"/>
      <c r="AG32" s="1052">
        <f>+AC32+AD32+AE32+AF32</f>
        <v>12365179143</v>
      </c>
      <c r="AH32" s="1055">
        <f t="shared" si="1"/>
        <v>0.40750186118044274</v>
      </c>
      <c r="AI32" s="292"/>
      <c r="AJ32" s="292"/>
      <c r="AK32" s="292"/>
      <c r="AL32" s="292"/>
      <c r="AM32" s="292"/>
      <c r="AN32" s="292"/>
      <c r="AO32" s="292"/>
      <c r="AP32" s="292"/>
      <c r="AQ32" s="290"/>
      <c r="AR32" s="290"/>
      <c r="AS32" s="810"/>
    </row>
    <row r="33" spans="1:45" s="1" customFormat="1" ht="156.75" customHeight="1" thickBot="1">
      <c r="A33" s="752"/>
      <c r="B33" s="752"/>
      <c r="C33" s="752"/>
      <c r="D33" s="752"/>
      <c r="E33" s="752"/>
      <c r="F33" s="752"/>
      <c r="G33" s="753"/>
      <c r="H33" s="203" t="s">
        <v>86</v>
      </c>
      <c r="I33" s="204">
        <v>13.2</v>
      </c>
      <c r="J33" s="204">
        <v>12</v>
      </c>
      <c r="K33" s="735"/>
      <c r="L33" s="752"/>
      <c r="M33" s="205" t="s">
        <v>526</v>
      </c>
      <c r="N33" s="76">
        <v>100</v>
      </c>
      <c r="O33" s="322" t="s">
        <v>358</v>
      </c>
      <c r="P33" s="76">
        <v>25</v>
      </c>
      <c r="Q33" s="76">
        <v>25</v>
      </c>
      <c r="R33" s="76">
        <v>25</v>
      </c>
      <c r="S33" s="76">
        <v>25</v>
      </c>
      <c r="T33" s="232" t="s">
        <v>343</v>
      </c>
      <c r="U33" s="77"/>
      <c r="V33" s="1064"/>
      <c r="W33" s="1064"/>
      <c r="X33" s="1064"/>
      <c r="Y33" s="291"/>
      <c r="Z33" s="291"/>
      <c r="AA33" s="291"/>
      <c r="AB33" s="291"/>
      <c r="AC33" s="1053"/>
      <c r="AD33" s="1053"/>
      <c r="AE33" s="1050"/>
      <c r="AF33" s="1050"/>
      <c r="AG33" s="1053"/>
      <c r="AH33" s="1056"/>
      <c r="AI33" s="292"/>
      <c r="AJ33" s="292"/>
      <c r="AK33" s="292"/>
      <c r="AL33" s="292"/>
      <c r="AM33" s="292"/>
      <c r="AN33" s="292"/>
      <c r="AO33" s="292"/>
      <c r="AP33" s="292"/>
      <c r="AQ33" s="290" t="s">
        <v>342</v>
      </c>
      <c r="AR33" s="290" t="s">
        <v>342</v>
      </c>
      <c r="AS33" s="810"/>
    </row>
    <row r="34" spans="1:45" s="1" customFormat="1" ht="156.75" customHeight="1" thickBot="1">
      <c r="A34" s="752"/>
      <c r="B34" s="752"/>
      <c r="C34" s="752"/>
      <c r="D34" s="752"/>
      <c r="E34" s="752"/>
      <c r="F34" s="752"/>
      <c r="G34" s="754" t="s">
        <v>148</v>
      </c>
      <c r="H34" s="203"/>
      <c r="I34" s="204"/>
      <c r="J34" s="204"/>
      <c r="K34" s="735"/>
      <c r="L34" s="752"/>
      <c r="M34" s="205" t="s">
        <v>527</v>
      </c>
      <c r="N34" s="239">
        <v>1</v>
      </c>
      <c r="O34" s="76" t="s">
        <v>529</v>
      </c>
      <c r="P34" s="76">
        <v>1</v>
      </c>
      <c r="Q34" s="76">
        <v>0</v>
      </c>
      <c r="R34" s="76">
        <v>0</v>
      </c>
      <c r="S34" s="76">
        <v>0</v>
      </c>
      <c r="T34" s="232"/>
      <c r="U34" s="77"/>
      <c r="V34" s="1064"/>
      <c r="W34" s="1064"/>
      <c r="X34" s="1064"/>
      <c r="Y34" s="291"/>
      <c r="Z34" s="291"/>
      <c r="AA34" s="291"/>
      <c r="AB34" s="291"/>
      <c r="AC34" s="1053"/>
      <c r="AD34" s="1053"/>
      <c r="AE34" s="1050"/>
      <c r="AF34" s="1050"/>
      <c r="AG34" s="1053"/>
      <c r="AH34" s="1056"/>
      <c r="AI34" s="292"/>
      <c r="AJ34" s="292"/>
      <c r="AK34" s="292"/>
      <c r="AL34" s="292"/>
      <c r="AM34" s="292"/>
      <c r="AN34" s="292"/>
      <c r="AO34" s="292"/>
      <c r="AP34" s="292"/>
      <c r="AQ34" s="290"/>
      <c r="AR34" s="290"/>
      <c r="AS34" s="810"/>
    </row>
    <row r="35" spans="1:45" s="1" customFormat="1" ht="156.75" customHeight="1" thickBot="1">
      <c r="A35" s="752"/>
      <c r="B35" s="752"/>
      <c r="C35" s="752"/>
      <c r="D35" s="752"/>
      <c r="E35" s="752"/>
      <c r="F35" s="752"/>
      <c r="G35" s="752"/>
      <c r="H35" s="203"/>
      <c r="I35" s="204"/>
      <c r="J35" s="204"/>
      <c r="K35" s="735"/>
      <c r="L35" s="752"/>
      <c r="M35" s="205" t="s">
        <v>530</v>
      </c>
      <c r="N35" s="76">
        <v>100</v>
      </c>
      <c r="O35" s="322" t="s">
        <v>358</v>
      </c>
      <c r="P35" s="76">
        <v>25</v>
      </c>
      <c r="Q35" s="76">
        <v>25</v>
      </c>
      <c r="R35" s="76">
        <v>25</v>
      </c>
      <c r="S35" s="76">
        <v>25</v>
      </c>
      <c r="T35" s="232"/>
      <c r="U35" s="77"/>
      <c r="V35" s="1064"/>
      <c r="W35" s="1064"/>
      <c r="X35" s="1064"/>
      <c r="Y35" s="291"/>
      <c r="Z35" s="291"/>
      <c r="AA35" s="291"/>
      <c r="AB35" s="291"/>
      <c r="AC35" s="1053"/>
      <c r="AD35" s="1053"/>
      <c r="AE35" s="1050"/>
      <c r="AF35" s="1050"/>
      <c r="AG35" s="1053"/>
      <c r="AH35" s="1056"/>
      <c r="AI35" s="292"/>
      <c r="AJ35" s="292"/>
      <c r="AK35" s="292"/>
      <c r="AL35" s="292"/>
      <c r="AM35" s="292"/>
      <c r="AN35" s="292"/>
      <c r="AO35" s="292"/>
      <c r="AP35" s="292"/>
      <c r="AQ35" s="290"/>
      <c r="AR35" s="290"/>
      <c r="AS35" s="810"/>
    </row>
    <row r="36" spans="1:45" s="1" customFormat="1" ht="156.75" customHeight="1" thickBot="1">
      <c r="A36" s="752"/>
      <c r="B36" s="752"/>
      <c r="C36" s="752"/>
      <c r="D36" s="752"/>
      <c r="E36" s="752"/>
      <c r="F36" s="752"/>
      <c r="G36" s="753"/>
      <c r="H36" s="203" t="s">
        <v>86</v>
      </c>
      <c r="I36" s="204">
        <v>15</v>
      </c>
      <c r="J36" s="204">
        <v>15</v>
      </c>
      <c r="K36" s="735"/>
      <c r="L36" s="752"/>
      <c r="M36" s="205" t="s">
        <v>531</v>
      </c>
      <c r="N36" s="76">
        <v>100</v>
      </c>
      <c r="O36" s="322" t="s">
        <v>358</v>
      </c>
      <c r="P36" s="76">
        <v>25</v>
      </c>
      <c r="Q36" s="76">
        <v>25</v>
      </c>
      <c r="R36" s="76">
        <v>25</v>
      </c>
      <c r="S36" s="76">
        <v>25</v>
      </c>
      <c r="T36" s="232" t="s">
        <v>343</v>
      </c>
      <c r="U36" s="77"/>
      <c r="V36" s="1064"/>
      <c r="W36" s="1064"/>
      <c r="X36" s="1064"/>
      <c r="Y36" s="291"/>
      <c r="Z36" s="291"/>
      <c r="AA36" s="291"/>
      <c r="AB36" s="291"/>
      <c r="AC36" s="1053"/>
      <c r="AD36" s="1053"/>
      <c r="AE36" s="1050"/>
      <c r="AF36" s="1050"/>
      <c r="AG36" s="1053"/>
      <c r="AH36" s="1056"/>
      <c r="AI36" s="292"/>
      <c r="AJ36" s="292"/>
      <c r="AK36" s="292"/>
      <c r="AL36" s="292"/>
      <c r="AM36" s="292"/>
      <c r="AN36" s="292"/>
      <c r="AO36" s="292"/>
      <c r="AP36" s="292"/>
      <c r="AQ36" s="290" t="s">
        <v>342</v>
      </c>
      <c r="AR36" s="290" t="s">
        <v>342</v>
      </c>
      <c r="AS36" s="810"/>
    </row>
    <row r="37" spans="1:45" s="1" customFormat="1" ht="156.75" customHeight="1" thickBot="1">
      <c r="A37" s="752"/>
      <c r="B37" s="752"/>
      <c r="C37" s="752"/>
      <c r="D37" s="752"/>
      <c r="E37" s="752"/>
      <c r="F37" s="752"/>
      <c r="G37" s="754" t="s">
        <v>149</v>
      </c>
      <c r="H37" s="203" t="s">
        <v>150</v>
      </c>
      <c r="I37" s="204">
        <v>21</v>
      </c>
      <c r="J37" s="204">
        <v>21</v>
      </c>
      <c r="K37" s="735"/>
      <c r="L37" s="752"/>
      <c r="M37" s="205" t="s">
        <v>532</v>
      </c>
      <c r="N37" s="76">
        <v>100</v>
      </c>
      <c r="O37" s="322" t="s">
        <v>358</v>
      </c>
      <c r="P37" s="76">
        <v>25</v>
      </c>
      <c r="Q37" s="76">
        <v>25</v>
      </c>
      <c r="R37" s="76">
        <v>25</v>
      </c>
      <c r="S37" s="76">
        <v>25</v>
      </c>
      <c r="T37" s="232" t="s">
        <v>343</v>
      </c>
      <c r="U37" s="77"/>
      <c r="V37" s="1064"/>
      <c r="W37" s="1064"/>
      <c r="X37" s="1064"/>
      <c r="Y37" s="291"/>
      <c r="Z37" s="291"/>
      <c r="AA37" s="291"/>
      <c r="AB37" s="291"/>
      <c r="AC37" s="1053"/>
      <c r="AD37" s="1053"/>
      <c r="AE37" s="1050"/>
      <c r="AF37" s="1050"/>
      <c r="AG37" s="1053"/>
      <c r="AH37" s="1056"/>
      <c r="AI37" s="292"/>
      <c r="AJ37" s="292"/>
      <c r="AK37" s="292"/>
      <c r="AL37" s="292"/>
      <c r="AM37" s="292"/>
      <c r="AN37" s="292"/>
      <c r="AO37" s="292"/>
      <c r="AP37" s="292"/>
      <c r="AQ37" s="290" t="s">
        <v>342</v>
      </c>
      <c r="AR37" s="290" t="s">
        <v>342</v>
      </c>
      <c r="AS37" s="810"/>
    </row>
    <row r="38" spans="1:45" s="1" customFormat="1" ht="156.75" customHeight="1" thickBot="1">
      <c r="A38" s="752"/>
      <c r="B38" s="752"/>
      <c r="C38" s="752"/>
      <c r="D38" s="752"/>
      <c r="E38" s="752"/>
      <c r="F38" s="752"/>
      <c r="G38" s="752"/>
      <c r="H38" s="203"/>
      <c r="I38" s="204"/>
      <c r="J38" s="204"/>
      <c r="K38" s="735"/>
      <c r="L38" s="752"/>
      <c r="M38" s="205" t="s">
        <v>533</v>
      </c>
      <c r="N38" s="76">
        <v>100</v>
      </c>
      <c r="O38" s="322" t="s">
        <v>358</v>
      </c>
      <c r="P38" s="76">
        <v>25</v>
      </c>
      <c r="Q38" s="76">
        <v>25</v>
      </c>
      <c r="R38" s="76">
        <v>25</v>
      </c>
      <c r="S38" s="76">
        <v>25</v>
      </c>
      <c r="T38" s="232"/>
      <c r="U38" s="77"/>
      <c r="V38" s="1064"/>
      <c r="W38" s="1064"/>
      <c r="X38" s="1064"/>
      <c r="Y38" s="291"/>
      <c r="Z38" s="291"/>
      <c r="AA38" s="291"/>
      <c r="AB38" s="291"/>
      <c r="AC38" s="1053"/>
      <c r="AD38" s="1053"/>
      <c r="AE38" s="1050"/>
      <c r="AF38" s="1050"/>
      <c r="AG38" s="1053"/>
      <c r="AH38" s="1056"/>
      <c r="AI38" s="292"/>
      <c r="AJ38" s="292"/>
      <c r="AK38" s="292"/>
      <c r="AL38" s="292"/>
      <c r="AM38" s="292"/>
      <c r="AN38" s="292"/>
      <c r="AO38" s="292"/>
      <c r="AP38" s="292"/>
      <c r="AQ38" s="290"/>
      <c r="AR38" s="290"/>
      <c r="AS38" s="810"/>
    </row>
    <row r="39" spans="1:45" s="1" customFormat="1" ht="156.75" customHeight="1" thickBot="1">
      <c r="A39" s="752"/>
      <c r="B39" s="752"/>
      <c r="C39" s="752"/>
      <c r="D39" s="752"/>
      <c r="E39" s="752"/>
      <c r="F39" s="752"/>
      <c r="G39" s="753"/>
      <c r="H39" s="203"/>
      <c r="I39" s="204"/>
      <c r="J39" s="204"/>
      <c r="K39" s="735"/>
      <c r="L39" s="752"/>
      <c r="M39" s="205" t="s">
        <v>534</v>
      </c>
      <c r="N39" s="76">
        <v>100</v>
      </c>
      <c r="O39" s="322" t="s">
        <v>358</v>
      </c>
      <c r="P39" s="76">
        <v>25</v>
      </c>
      <c r="Q39" s="76">
        <v>25</v>
      </c>
      <c r="R39" s="76">
        <v>25</v>
      </c>
      <c r="S39" s="76">
        <v>25</v>
      </c>
      <c r="T39" s="232"/>
      <c r="U39" s="77"/>
      <c r="V39" s="1064"/>
      <c r="W39" s="1064"/>
      <c r="X39" s="1064"/>
      <c r="Y39" s="291"/>
      <c r="Z39" s="291"/>
      <c r="AA39" s="291"/>
      <c r="AB39" s="291"/>
      <c r="AC39" s="1053"/>
      <c r="AD39" s="1053"/>
      <c r="AE39" s="1050"/>
      <c r="AF39" s="1050"/>
      <c r="AG39" s="1053"/>
      <c r="AH39" s="1056"/>
      <c r="AI39" s="292"/>
      <c r="AJ39" s="292"/>
      <c r="AK39" s="292"/>
      <c r="AL39" s="292"/>
      <c r="AM39" s="292"/>
      <c r="AN39" s="292"/>
      <c r="AO39" s="292"/>
      <c r="AP39" s="292"/>
      <c r="AQ39" s="290"/>
      <c r="AR39" s="290"/>
      <c r="AS39" s="810"/>
    </row>
    <row r="40" spans="1:45" s="1" customFormat="1" ht="156.75" customHeight="1" thickBot="1">
      <c r="A40" s="752"/>
      <c r="B40" s="752"/>
      <c r="C40" s="752"/>
      <c r="D40" s="752"/>
      <c r="E40" s="752"/>
      <c r="F40" s="752"/>
      <c r="G40" s="754" t="s">
        <v>151</v>
      </c>
      <c r="H40" s="203" t="s">
        <v>18</v>
      </c>
      <c r="I40" s="204">
        <v>90</v>
      </c>
      <c r="J40" s="204">
        <v>88</v>
      </c>
      <c r="K40" s="735"/>
      <c r="L40" s="752"/>
      <c r="M40" s="205" t="s">
        <v>535</v>
      </c>
      <c r="N40" s="205">
        <v>100</v>
      </c>
      <c r="O40" s="323" t="s">
        <v>510</v>
      </c>
      <c r="P40" s="205">
        <v>25</v>
      </c>
      <c r="Q40" s="205">
        <v>25</v>
      </c>
      <c r="R40" s="205">
        <v>25</v>
      </c>
      <c r="S40" s="76">
        <v>25</v>
      </c>
      <c r="T40" s="232" t="s">
        <v>343</v>
      </c>
      <c r="U40" s="205"/>
      <c r="V40" s="1064"/>
      <c r="W40" s="1064"/>
      <c r="X40" s="1064"/>
      <c r="Y40" s="291"/>
      <c r="Z40" s="291"/>
      <c r="AA40" s="291"/>
      <c r="AB40" s="291"/>
      <c r="AC40" s="1053"/>
      <c r="AD40" s="1053"/>
      <c r="AE40" s="1050"/>
      <c r="AF40" s="1050"/>
      <c r="AG40" s="1053"/>
      <c r="AH40" s="1056"/>
      <c r="AI40" s="292"/>
      <c r="AJ40" s="292"/>
      <c r="AK40" s="292"/>
      <c r="AL40" s="292"/>
      <c r="AM40" s="292"/>
      <c r="AN40" s="292"/>
      <c r="AO40" s="292"/>
      <c r="AP40" s="292"/>
      <c r="AQ40" s="290" t="s">
        <v>342</v>
      </c>
      <c r="AR40" s="290" t="s">
        <v>342</v>
      </c>
      <c r="AS40" s="810"/>
    </row>
    <row r="41" spans="1:45" s="1" customFormat="1" ht="156.75" customHeight="1" thickBot="1">
      <c r="A41" s="752"/>
      <c r="B41" s="752"/>
      <c r="C41" s="752"/>
      <c r="D41" s="752"/>
      <c r="E41" s="752"/>
      <c r="F41" s="752"/>
      <c r="G41" s="752"/>
      <c r="H41" s="203"/>
      <c r="I41" s="204"/>
      <c r="J41" s="204"/>
      <c r="K41" s="735"/>
      <c r="L41" s="752"/>
      <c r="M41" s="205" t="s">
        <v>536</v>
      </c>
      <c r="N41" s="309">
        <v>1</v>
      </c>
      <c r="O41" s="205" t="s">
        <v>513</v>
      </c>
      <c r="P41" s="205">
        <v>0</v>
      </c>
      <c r="Q41" s="205">
        <v>0</v>
      </c>
      <c r="R41" s="205">
        <v>1</v>
      </c>
      <c r="S41" s="76">
        <v>0</v>
      </c>
      <c r="T41" s="232"/>
      <c r="U41" s="205"/>
      <c r="V41" s="1064"/>
      <c r="W41" s="1064"/>
      <c r="X41" s="1064"/>
      <c r="Y41" s="291"/>
      <c r="Z41" s="291"/>
      <c r="AA41" s="291"/>
      <c r="AB41" s="291"/>
      <c r="AC41" s="1053"/>
      <c r="AD41" s="1053"/>
      <c r="AE41" s="1050"/>
      <c r="AF41" s="1050"/>
      <c r="AG41" s="1053"/>
      <c r="AH41" s="1056"/>
      <c r="AI41" s="292"/>
      <c r="AJ41" s="292"/>
      <c r="AK41" s="292"/>
      <c r="AL41" s="292"/>
      <c r="AM41" s="292"/>
      <c r="AN41" s="292"/>
      <c r="AO41" s="292"/>
      <c r="AP41" s="292"/>
      <c r="AQ41" s="290"/>
      <c r="AR41" s="290"/>
      <c r="AS41" s="810"/>
    </row>
    <row r="42" spans="1:45" s="1" customFormat="1" ht="156.75" customHeight="1" thickBot="1">
      <c r="A42" s="752"/>
      <c r="B42" s="752"/>
      <c r="C42" s="752"/>
      <c r="D42" s="752"/>
      <c r="E42" s="752"/>
      <c r="F42" s="752"/>
      <c r="G42" s="753"/>
      <c r="H42" s="203"/>
      <c r="I42" s="204"/>
      <c r="J42" s="204"/>
      <c r="K42" s="735"/>
      <c r="L42" s="752"/>
      <c r="M42" s="205" t="s">
        <v>537</v>
      </c>
      <c r="N42" s="205">
        <v>100</v>
      </c>
      <c r="O42" s="323" t="s">
        <v>510</v>
      </c>
      <c r="P42" s="205">
        <v>25</v>
      </c>
      <c r="Q42" s="205">
        <v>25</v>
      </c>
      <c r="R42" s="205">
        <v>25</v>
      </c>
      <c r="S42" s="76">
        <v>25</v>
      </c>
      <c r="T42" s="232"/>
      <c r="U42" s="205"/>
      <c r="V42" s="1064"/>
      <c r="W42" s="1064"/>
      <c r="X42" s="1064"/>
      <c r="Y42" s="291"/>
      <c r="Z42" s="291"/>
      <c r="AA42" s="291"/>
      <c r="AB42" s="291"/>
      <c r="AC42" s="1053"/>
      <c r="AD42" s="1053"/>
      <c r="AE42" s="1050"/>
      <c r="AF42" s="1050"/>
      <c r="AG42" s="1053"/>
      <c r="AH42" s="1056"/>
      <c r="AI42" s="292"/>
      <c r="AJ42" s="292"/>
      <c r="AK42" s="292"/>
      <c r="AL42" s="292"/>
      <c r="AM42" s="292"/>
      <c r="AN42" s="292"/>
      <c r="AO42" s="292"/>
      <c r="AP42" s="292"/>
      <c r="AQ42" s="290"/>
      <c r="AR42" s="290"/>
      <c r="AS42" s="810"/>
    </row>
    <row r="43" spans="1:45" s="1" customFormat="1" ht="156.75" customHeight="1" thickBot="1">
      <c r="A43" s="752"/>
      <c r="B43" s="752"/>
      <c r="C43" s="752"/>
      <c r="D43" s="752"/>
      <c r="E43" s="752"/>
      <c r="F43" s="752"/>
      <c r="G43" s="754" t="s">
        <v>152</v>
      </c>
      <c r="H43" s="203" t="s">
        <v>18</v>
      </c>
      <c r="I43" s="204">
        <v>85.1</v>
      </c>
      <c r="J43" s="204">
        <v>85</v>
      </c>
      <c r="K43" s="735"/>
      <c r="L43" s="752"/>
      <c r="M43" s="205" t="s">
        <v>535</v>
      </c>
      <c r="N43" s="205">
        <v>100</v>
      </c>
      <c r="O43" s="323" t="s">
        <v>358</v>
      </c>
      <c r="P43" s="205">
        <v>25</v>
      </c>
      <c r="Q43" s="205">
        <v>25</v>
      </c>
      <c r="R43" s="205">
        <v>25</v>
      </c>
      <c r="S43" s="76">
        <v>25</v>
      </c>
      <c r="T43" s="232" t="s">
        <v>343</v>
      </c>
      <c r="U43" s="205"/>
      <c r="V43" s="1064"/>
      <c r="W43" s="1064"/>
      <c r="X43" s="1064"/>
      <c r="Y43" s="291"/>
      <c r="Z43" s="291"/>
      <c r="AA43" s="291"/>
      <c r="AB43" s="291"/>
      <c r="AC43" s="1053"/>
      <c r="AD43" s="1053"/>
      <c r="AE43" s="1050"/>
      <c r="AF43" s="1050"/>
      <c r="AG43" s="1053"/>
      <c r="AH43" s="1056"/>
      <c r="AI43" s="292"/>
      <c r="AJ43" s="292"/>
      <c r="AK43" s="292"/>
      <c r="AL43" s="292"/>
      <c r="AM43" s="292"/>
      <c r="AN43" s="292"/>
      <c r="AO43" s="292"/>
      <c r="AP43" s="292"/>
      <c r="AQ43" s="290" t="s">
        <v>342</v>
      </c>
      <c r="AR43" s="290" t="s">
        <v>342</v>
      </c>
      <c r="AS43" s="810"/>
    </row>
    <row r="44" spans="1:45" s="1" customFormat="1" ht="156.75" customHeight="1" thickBot="1">
      <c r="A44" s="752"/>
      <c r="B44" s="752"/>
      <c r="C44" s="752"/>
      <c r="D44" s="752"/>
      <c r="E44" s="752"/>
      <c r="F44" s="752"/>
      <c r="G44" s="752"/>
      <c r="H44" s="203"/>
      <c r="I44" s="204"/>
      <c r="J44" s="204"/>
      <c r="K44" s="735"/>
      <c r="L44" s="752"/>
      <c r="M44" s="205" t="s">
        <v>536</v>
      </c>
      <c r="N44" s="309">
        <v>1</v>
      </c>
      <c r="O44" s="205" t="s">
        <v>513</v>
      </c>
      <c r="P44" s="205">
        <v>0</v>
      </c>
      <c r="Q44" s="205">
        <v>0</v>
      </c>
      <c r="R44" s="205">
        <v>1</v>
      </c>
      <c r="S44" s="76">
        <v>0</v>
      </c>
      <c r="T44" s="232"/>
      <c r="U44" s="205"/>
      <c r="V44" s="1064"/>
      <c r="W44" s="1064"/>
      <c r="X44" s="1064"/>
      <c r="Y44" s="291"/>
      <c r="Z44" s="291"/>
      <c r="AA44" s="291"/>
      <c r="AB44" s="291"/>
      <c r="AC44" s="1053"/>
      <c r="AD44" s="1053"/>
      <c r="AE44" s="1050"/>
      <c r="AF44" s="1050"/>
      <c r="AG44" s="1053"/>
      <c r="AH44" s="1056"/>
      <c r="AI44" s="292"/>
      <c r="AJ44" s="292"/>
      <c r="AK44" s="292"/>
      <c r="AL44" s="292"/>
      <c r="AM44" s="292"/>
      <c r="AN44" s="292"/>
      <c r="AO44" s="292"/>
      <c r="AP44" s="292"/>
      <c r="AQ44" s="290"/>
      <c r="AR44" s="290"/>
      <c r="AS44" s="810"/>
    </row>
    <row r="45" spans="1:45" s="1" customFormat="1" ht="156.75" customHeight="1" thickBot="1">
      <c r="A45" s="752"/>
      <c r="B45" s="752"/>
      <c r="C45" s="752"/>
      <c r="D45" s="752"/>
      <c r="E45" s="752"/>
      <c r="F45" s="752"/>
      <c r="G45" s="753"/>
      <c r="H45" s="203"/>
      <c r="I45" s="204"/>
      <c r="J45" s="204"/>
      <c r="K45" s="735"/>
      <c r="L45" s="752"/>
      <c r="M45" s="205" t="s">
        <v>537</v>
      </c>
      <c r="N45" s="205">
        <v>100</v>
      </c>
      <c r="O45" s="323" t="s">
        <v>358</v>
      </c>
      <c r="P45" s="205">
        <v>25</v>
      </c>
      <c r="Q45" s="205">
        <v>25</v>
      </c>
      <c r="R45" s="205">
        <v>25</v>
      </c>
      <c r="S45" s="76">
        <v>25</v>
      </c>
      <c r="T45" s="232"/>
      <c r="U45" s="205"/>
      <c r="V45" s="1064"/>
      <c r="W45" s="1064"/>
      <c r="X45" s="1064"/>
      <c r="Y45" s="291"/>
      <c r="Z45" s="291"/>
      <c r="AA45" s="291"/>
      <c r="AB45" s="291"/>
      <c r="AC45" s="1053"/>
      <c r="AD45" s="1053"/>
      <c r="AE45" s="1050"/>
      <c r="AF45" s="1050"/>
      <c r="AG45" s="1053"/>
      <c r="AH45" s="1056"/>
      <c r="AI45" s="292"/>
      <c r="AJ45" s="292"/>
      <c r="AK45" s="292"/>
      <c r="AL45" s="292"/>
      <c r="AM45" s="292"/>
      <c r="AN45" s="292"/>
      <c r="AO45" s="292"/>
      <c r="AP45" s="292"/>
      <c r="AQ45" s="290"/>
      <c r="AR45" s="290"/>
      <c r="AS45" s="810"/>
    </row>
    <row r="46" spans="1:45" s="1" customFormat="1" ht="156.75" customHeight="1" thickBot="1">
      <c r="A46" s="752"/>
      <c r="B46" s="752"/>
      <c r="C46" s="752"/>
      <c r="D46" s="752"/>
      <c r="E46" s="752"/>
      <c r="F46" s="752"/>
      <c r="G46" s="754" t="s">
        <v>153</v>
      </c>
      <c r="H46" s="203" t="s">
        <v>18</v>
      </c>
      <c r="I46" s="204">
        <v>95</v>
      </c>
      <c r="J46" s="204">
        <v>90</v>
      </c>
      <c r="K46" s="735"/>
      <c r="L46" s="752"/>
      <c r="M46" s="205" t="s">
        <v>538</v>
      </c>
      <c r="N46" s="76">
        <v>100</v>
      </c>
      <c r="O46" s="322" t="s">
        <v>358</v>
      </c>
      <c r="P46" s="76">
        <v>25</v>
      </c>
      <c r="Q46" s="76">
        <v>25</v>
      </c>
      <c r="R46" s="76">
        <v>25</v>
      </c>
      <c r="S46" s="76">
        <v>25</v>
      </c>
      <c r="T46" s="232" t="s">
        <v>343</v>
      </c>
      <c r="U46" s="77"/>
      <c r="V46" s="1064"/>
      <c r="W46" s="1064"/>
      <c r="X46" s="1064"/>
      <c r="Y46" s="291"/>
      <c r="Z46" s="291"/>
      <c r="AA46" s="291"/>
      <c r="AB46" s="291"/>
      <c r="AC46" s="1053"/>
      <c r="AD46" s="1053"/>
      <c r="AE46" s="1050"/>
      <c r="AF46" s="1050"/>
      <c r="AG46" s="1053"/>
      <c r="AH46" s="1056"/>
      <c r="AI46" s="292"/>
      <c r="AJ46" s="292"/>
      <c r="AK46" s="292"/>
      <c r="AL46" s="292"/>
      <c r="AM46" s="292"/>
      <c r="AN46" s="292"/>
      <c r="AO46" s="292"/>
      <c r="AP46" s="292"/>
      <c r="AQ46" s="290" t="s">
        <v>342</v>
      </c>
      <c r="AR46" s="290" t="s">
        <v>342</v>
      </c>
      <c r="AS46" s="810"/>
    </row>
    <row r="47" spans="1:45" s="1" customFormat="1" ht="156.75" customHeight="1" thickBot="1">
      <c r="A47" s="752"/>
      <c r="B47" s="752"/>
      <c r="C47" s="752"/>
      <c r="D47" s="752"/>
      <c r="E47" s="752"/>
      <c r="F47" s="752"/>
      <c r="G47" s="752"/>
      <c r="H47" s="203"/>
      <c r="I47" s="204"/>
      <c r="J47" s="204"/>
      <c r="K47" s="735"/>
      <c r="L47" s="752"/>
      <c r="M47" s="205" t="s">
        <v>539</v>
      </c>
      <c r="N47" s="239">
        <v>2</v>
      </c>
      <c r="O47" s="76" t="s">
        <v>513</v>
      </c>
      <c r="P47" s="76">
        <v>0</v>
      </c>
      <c r="Q47" s="76">
        <v>0</v>
      </c>
      <c r="R47" s="76">
        <v>2</v>
      </c>
      <c r="S47" s="76">
        <v>0</v>
      </c>
      <c r="T47" s="232"/>
      <c r="U47" s="77"/>
      <c r="V47" s="1064"/>
      <c r="W47" s="1064"/>
      <c r="X47" s="1064"/>
      <c r="Y47" s="291"/>
      <c r="Z47" s="291"/>
      <c r="AA47" s="291"/>
      <c r="AB47" s="291"/>
      <c r="AC47" s="1053"/>
      <c r="AD47" s="1053"/>
      <c r="AE47" s="1050"/>
      <c r="AF47" s="1050"/>
      <c r="AG47" s="1053"/>
      <c r="AH47" s="1056"/>
      <c r="AI47" s="292"/>
      <c r="AJ47" s="292"/>
      <c r="AK47" s="292"/>
      <c r="AL47" s="292"/>
      <c r="AM47" s="292"/>
      <c r="AN47" s="292"/>
      <c r="AO47" s="292"/>
      <c r="AP47" s="292"/>
      <c r="AQ47" s="290"/>
      <c r="AR47" s="290"/>
      <c r="AS47" s="810"/>
    </row>
    <row r="48" spans="1:45" s="1" customFormat="1" ht="156.75" customHeight="1" thickBot="1">
      <c r="A48" s="752"/>
      <c r="B48" s="752"/>
      <c r="C48" s="752"/>
      <c r="D48" s="752"/>
      <c r="E48" s="752"/>
      <c r="F48" s="752"/>
      <c r="G48" s="753"/>
      <c r="H48" s="203"/>
      <c r="I48" s="204"/>
      <c r="J48" s="204"/>
      <c r="K48" s="735"/>
      <c r="L48" s="752"/>
      <c r="M48" s="205" t="s">
        <v>540</v>
      </c>
      <c r="N48" s="76">
        <v>100</v>
      </c>
      <c r="O48" s="322" t="s">
        <v>358</v>
      </c>
      <c r="P48" s="76">
        <v>25</v>
      </c>
      <c r="Q48" s="76">
        <v>25</v>
      </c>
      <c r="R48" s="76">
        <v>25</v>
      </c>
      <c r="S48" s="76">
        <v>25</v>
      </c>
      <c r="T48" s="232"/>
      <c r="U48" s="77"/>
      <c r="V48" s="1064"/>
      <c r="W48" s="1064"/>
      <c r="X48" s="1064"/>
      <c r="Y48" s="291"/>
      <c r="Z48" s="291"/>
      <c r="AA48" s="291"/>
      <c r="AB48" s="291"/>
      <c r="AC48" s="1053"/>
      <c r="AD48" s="1053"/>
      <c r="AE48" s="1050"/>
      <c r="AF48" s="1050"/>
      <c r="AG48" s="1053"/>
      <c r="AH48" s="1056"/>
      <c r="AI48" s="292"/>
      <c r="AJ48" s="292"/>
      <c r="AK48" s="292"/>
      <c r="AL48" s="292"/>
      <c r="AM48" s="292"/>
      <c r="AN48" s="292"/>
      <c r="AO48" s="292"/>
      <c r="AP48" s="292"/>
      <c r="AQ48" s="290"/>
      <c r="AR48" s="290"/>
      <c r="AS48" s="810"/>
    </row>
    <row r="49" spans="1:45" s="1" customFormat="1" ht="94.5" customHeight="1" thickBot="1">
      <c r="A49" s="752"/>
      <c r="B49" s="752"/>
      <c r="C49" s="754" t="s">
        <v>316</v>
      </c>
      <c r="D49" s="754" t="s">
        <v>53</v>
      </c>
      <c r="E49" s="754">
        <v>40</v>
      </c>
      <c r="F49" s="752"/>
      <c r="G49" s="754" t="s">
        <v>154</v>
      </c>
      <c r="H49" s="203" t="s">
        <v>18</v>
      </c>
      <c r="I49" s="204">
        <v>100</v>
      </c>
      <c r="J49" s="204">
        <v>100</v>
      </c>
      <c r="K49" s="735"/>
      <c r="L49" s="752"/>
      <c r="M49" s="205" t="s">
        <v>541</v>
      </c>
      <c r="N49" s="76">
        <v>100</v>
      </c>
      <c r="O49" s="322" t="s">
        <v>358</v>
      </c>
      <c r="P49" s="76">
        <v>25</v>
      </c>
      <c r="Q49" s="76">
        <v>25</v>
      </c>
      <c r="R49" s="76">
        <v>25</v>
      </c>
      <c r="S49" s="76">
        <v>25</v>
      </c>
      <c r="T49" s="232" t="s">
        <v>343</v>
      </c>
      <c r="U49" s="77"/>
      <c r="V49" s="1064"/>
      <c r="W49" s="1064"/>
      <c r="X49" s="1064"/>
      <c r="Y49" s="291"/>
      <c r="Z49" s="291"/>
      <c r="AA49" s="291"/>
      <c r="AB49" s="291"/>
      <c r="AC49" s="1053"/>
      <c r="AD49" s="1053"/>
      <c r="AE49" s="1050"/>
      <c r="AF49" s="1050"/>
      <c r="AG49" s="1053"/>
      <c r="AH49" s="1056"/>
      <c r="AI49" s="292"/>
      <c r="AJ49" s="292"/>
      <c r="AK49" s="292"/>
      <c r="AL49" s="292"/>
      <c r="AM49" s="292"/>
      <c r="AN49" s="292"/>
      <c r="AO49" s="292"/>
      <c r="AP49" s="292"/>
      <c r="AQ49" s="290" t="s">
        <v>342</v>
      </c>
      <c r="AR49" s="290" t="s">
        <v>342</v>
      </c>
      <c r="AS49" s="810"/>
    </row>
    <row r="50" spans="1:45" s="1" customFormat="1" ht="94.5" customHeight="1" thickBot="1">
      <c r="A50" s="752"/>
      <c r="B50" s="752"/>
      <c r="C50" s="752"/>
      <c r="D50" s="752"/>
      <c r="E50" s="752"/>
      <c r="F50" s="752"/>
      <c r="G50" s="753"/>
      <c r="H50" s="203"/>
      <c r="I50" s="204"/>
      <c r="J50" s="204"/>
      <c r="K50" s="735"/>
      <c r="L50" s="752"/>
      <c r="M50" s="205" t="s">
        <v>542</v>
      </c>
      <c r="N50" s="76">
        <v>100</v>
      </c>
      <c r="O50" s="322" t="s">
        <v>358</v>
      </c>
      <c r="P50" s="76">
        <v>25</v>
      </c>
      <c r="Q50" s="76">
        <v>25</v>
      </c>
      <c r="R50" s="76">
        <v>25</v>
      </c>
      <c r="S50" s="76">
        <v>25</v>
      </c>
      <c r="T50" s="232"/>
      <c r="U50" s="77"/>
      <c r="V50" s="1064"/>
      <c r="W50" s="1064"/>
      <c r="X50" s="1064"/>
      <c r="Y50" s="291"/>
      <c r="Z50" s="291"/>
      <c r="AA50" s="291"/>
      <c r="AB50" s="291"/>
      <c r="AC50" s="1053"/>
      <c r="AD50" s="1053"/>
      <c r="AE50" s="1050"/>
      <c r="AF50" s="1050"/>
      <c r="AG50" s="1053"/>
      <c r="AH50" s="1056"/>
      <c r="AI50" s="292"/>
      <c r="AJ50" s="292"/>
      <c r="AK50" s="292"/>
      <c r="AL50" s="292"/>
      <c r="AM50" s="292"/>
      <c r="AN50" s="292"/>
      <c r="AO50" s="292"/>
      <c r="AP50" s="292"/>
      <c r="AQ50" s="290"/>
      <c r="AR50" s="290"/>
      <c r="AS50" s="810"/>
    </row>
    <row r="51" spans="1:45" s="1" customFormat="1" ht="114" customHeight="1" thickBot="1">
      <c r="A51" s="752"/>
      <c r="B51" s="752"/>
      <c r="C51" s="753"/>
      <c r="D51" s="753"/>
      <c r="E51" s="753"/>
      <c r="F51" s="753"/>
      <c r="G51" s="203" t="s">
        <v>155</v>
      </c>
      <c r="H51" s="203" t="s">
        <v>18</v>
      </c>
      <c r="I51" s="204">
        <v>1.4</v>
      </c>
      <c r="J51" s="204">
        <v>1.4</v>
      </c>
      <c r="K51" s="755"/>
      <c r="L51" s="753"/>
      <c r="M51" s="205" t="s">
        <v>543</v>
      </c>
      <c r="N51" s="76">
        <v>100</v>
      </c>
      <c r="O51" s="322" t="s">
        <v>358</v>
      </c>
      <c r="P51" s="76">
        <v>25</v>
      </c>
      <c r="Q51" s="76">
        <v>25</v>
      </c>
      <c r="R51" s="76">
        <v>25</v>
      </c>
      <c r="S51" s="76">
        <v>25</v>
      </c>
      <c r="T51" s="232" t="s">
        <v>343</v>
      </c>
      <c r="U51" s="77"/>
      <c r="V51" s="1064"/>
      <c r="W51" s="1064"/>
      <c r="X51" s="1064"/>
      <c r="Y51" s="291"/>
      <c r="Z51" s="291"/>
      <c r="AA51" s="291"/>
      <c r="AB51" s="291"/>
      <c r="AC51" s="1054"/>
      <c r="AD51" s="1054"/>
      <c r="AE51" s="1051"/>
      <c r="AF51" s="1051"/>
      <c r="AG51" s="1054"/>
      <c r="AH51" s="1057"/>
      <c r="AI51" s="292"/>
      <c r="AJ51" s="292"/>
      <c r="AK51" s="292"/>
      <c r="AL51" s="292"/>
      <c r="AM51" s="292"/>
      <c r="AN51" s="292"/>
      <c r="AO51" s="292"/>
      <c r="AP51" s="292"/>
      <c r="AQ51" s="290" t="s">
        <v>342</v>
      </c>
      <c r="AR51" s="290" t="s">
        <v>342</v>
      </c>
      <c r="AS51" s="810"/>
    </row>
    <row r="52" spans="1:45" s="1" customFormat="1" ht="94.5" customHeight="1" thickBot="1">
      <c r="A52" s="752"/>
      <c r="B52" s="752"/>
      <c r="C52" s="754" t="s">
        <v>317</v>
      </c>
      <c r="D52" s="754" t="s">
        <v>53</v>
      </c>
      <c r="E52" s="754">
        <v>90</v>
      </c>
      <c r="F52" s="754" t="s">
        <v>157</v>
      </c>
      <c r="G52" s="754" t="s">
        <v>158</v>
      </c>
      <c r="H52" s="203" t="s">
        <v>17</v>
      </c>
      <c r="I52" s="79" t="s">
        <v>51</v>
      </c>
      <c r="J52" s="79">
        <v>5196</v>
      </c>
      <c r="K52" s="79"/>
      <c r="L52" s="210" t="s">
        <v>159</v>
      </c>
      <c r="M52" s="205" t="s">
        <v>544</v>
      </c>
      <c r="N52" s="309">
        <v>4706</v>
      </c>
      <c r="O52" s="205" t="s">
        <v>624</v>
      </c>
      <c r="P52" s="205">
        <v>794</v>
      </c>
      <c r="Q52" s="205">
        <v>1380</v>
      </c>
      <c r="R52" s="205">
        <v>1447</v>
      </c>
      <c r="S52" s="76">
        <v>1085</v>
      </c>
      <c r="T52" s="205" t="s">
        <v>344</v>
      </c>
      <c r="U52" s="77"/>
      <c r="V52" s="747">
        <v>202945909</v>
      </c>
      <c r="W52" s="747">
        <v>422595367</v>
      </c>
      <c r="X52" s="747">
        <f>+V52+W52</f>
        <v>625541276</v>
      </c>
      <c r="Y52" s="288"/>
      <c r="Z52" s="288"/>
      <c r="AA52" s="288"/>
      <c r="AB52" s="288"/>
      <c r="AC52" s="288">
        <v>39234476</v>
      </c>
      <c r="AD52" s="288">
        <v>13468314</v>
      </c>
      <c r="AE52" s="288"/>
      <c r="AF52" s="289"/>
      <c r="AG52" s="289">
        <f t="shared" si="0"/>
        <v>52702790</v>
      </c>
      <c r="AH52" s="1023">
        <f>+(AG52+AG53+AG54+AG55)/X52</f>
        <v>0.33700600118352542</v>
      </c>
      <c r="AI52" s="289"/>
      <c r="AJ52" s="289"/>
      <c r="AK52" s="289"/>
      <c r="AL52" s="289"/>
      <c r="AM52" s="289"/>
      <c r="AN52" s="289"/>
      <c r="AO52" s="289"/>
      <c r="AP52" s="289"/>
      <c r="AQ52" s="290" t="s">
        <v>342</v>
      </c>
      <c r="AR52" s="290" t="s">
        <v>342</v>
      </c>
      <c r="AS52" s="810"/>
    </row>
    <row r="53" spans="1:45" s="1" customFormat="1" ht="94.5" customHeight="1" thickBot="1">
      <c r="A53" s="752"/>
      <c r="B53" s="752"/>
      <c r="C53" s="752"/>
      <c r="D53" s="752"/>
      <c r="E53" s="752"/>
      <c r="F53" s="752"/>
      <c r="G53" s="752"/>
      <c r="H53" s="203"/>
      <c r="I53" s="79"/>
      <c r="J53" s="79"/>
      <c r="K53" s="79"/>
      <c r="L53" s="210"/>
      <c r="M53" s="205" t="s">
        <v>545</v>
      </c>
      <c r="N53" s="309">
        <v>490</v>
      </c>
      <c r="O53" s="205" t="s">
        <v>624</v>
      </c>
      <c r="P53" s="205">
        <v>64</v>
      </c>
      <c r="Q53" s="205">
        <v>138</v>
      </c>
      <c r="R53" s="205">
        <v>156</v>
      </c>
      <c r="S53" s="76">
        <v>132</v>
      </c>
      <c r="T53" s="205" t="s">
        <v>344</v>
      </c>
      <c r="U53" s="77"/>
      <c r="V53" s="748"/>
      <c r="W53" s="748"/>
      <c r="X53" s="748"/>
      <c r="Y53" s="288"/>
      <c r="Z53" s="288"/>
      <c r="AA53" s="288"/>
      <c r="AB53" s="288"/>
      <c r="AC53" s="288">
        <v>39234476</v>
      </c>
      <c r="AD53" s="288">
        <v>13468314</v>
      </c>
      <c r="AE53" s="288"/>
      <c r="AF53" s="289"/>
      <c r="AG53" s="289">
        <f t="shared" si="0"/>
        <v>52702790</v>
      </c>
      <c r="AH53" s="1063"/>
      <c r="AI53" s="289"/>
      <c r="AJ53" s="289"/>
      <c r="AK53" s="289"/>
      <c r="AL53" s="289"/>
      <c r="AM53" s="289"/>
      <c r="AN53" s="289"/>
      <c r="AO53" s="289"/>
      <c r="AP53" s="289"/>
      <c r="AQ53" s="290"/>
      <c r="AR53" s="290"/>
      <c r="AS53" s="810"/>
    </row>
    <row r="54" spans="1:45" s="1" customFormat="1" ht="94.5" customHeight="1" thickBot="1">
      <c r="A54" s="752"/>
      <c r="B54" s="752"/>
      <c r="C54" s="752"/>
      <c r="D54" s="752"/>
      <c r="E54" s="752"/>
      <c r="F54" s="752"/>
      <c r="G54" s="752"/>
      <c r="H54" s="203"/>
      <c r="I54" s="79"/>
      <c r="J54" s="79"/>
      <c r="K54" s="79"/>
      <c r="L54" s="210"/>
      <c r="M54" s="205" t="s">
        <v>546</v>
      </c>
      <c r="N54" s="309">
        <v>5484</v>
      </c>
      <c r="O54" s="205" t="s">
        <v>622</v>
      </c>
      <c r="P54" s="205">
        <v>920</v>
      </c>
      <c r="Q54" s="205">
        <v>1608</v>
      </c>
      <c r="R54" s="205">
        <v>1688</v>
      </c>
      <c r="S54" s="76">
        <v>1268</v>
      </c>
      <c r="T54" s="205" t="s">
        <v>344</v>
      </c>
      <c r="U54" s="77"/>
      <c r="V54" s="748"/>
      <c r="W54" s="748"/>
      <c r="X54" s="748"/>
      <c r="Y54" s="288"/>
      <c r="Z54" s="288"/>
      <c r="AA54" s="288"/>
      <c r="AB54" s="288"/>
      <c r="AC54" s="288">
        <v>39234477</v>
      </c>
      <c r="AD54" s="288">
        <v>13468315</v>
      </c>
      <c r="AE54" s="288"/>
      <c r="AF54" s="289"/>
      <c r="AG54" s="289">
        <f t="shared" si="0"/>
        <v>52702792</v>
      </c>
      <c r="AH54" s="1063"/>
      <c r="AI54" s="289"/>
      <c r="AJ54" s="289"/>
      <c r="AK54" s="289"/>
      <c r="AL54" s="289"/>
      <c r="AM54" s="289"/>
      <c r="AN54" s="289"/>
      <c r="AO54" s="289"/>
      <c r="AP54" s="289"/>
      <c r="AQ54" s="290"/>
      <c r="AR54" s="290"/>
      <c r="AS54" s="810"/>
    </row>
    <row r="55" spans="1:45" s="1" customFormat="1" ht="94.5" customHeight="1" thickBot="1">
      <c r="A55" s="752"/>
      <c r="B55" s="752"/>
      <c r="C55" s="752"/>
      <c r="D55" s="752"/>
      <c r="E55" s="752"/>
      <c r="F55" s="752"/>
      <c r="G55" s="753"/>
      <c r="H55" s="203"/>
      <c r="I55" s="79"/>
      <c r="J55" s="79"/>
      <c r="K55" s="79"/>
      <c r="L55" s="210"/>
      <c r="M55" s="205" t="s">
        <v>547</v>
      </c>
      <c r="N55" s="309">
        <v>588</v>
      </c>
      <c r="O55" s="205" t="s">
        <v>623</v>
      </c>
      <c r="P55" s="205">
        <v>80</v>
      </c>
      <c r="Q55" s="205">
        <v>164</v>
      </c>
      <c r="R55" s="205">
        <v>186</v>
      </c>
      <c r="S55" s="76">
        <v>158</v>
      </c>
      <c r="T55" s="205" t="s">
        <v>344</v>
      </c>
      <c r="U55" s="77"/>
      <c r="V55" s="749"/>
      <c r="W55" s="749"/>
      <c r="X55" s="749"/>
      <c r="Y55" s="288"/>
      <c r="Z55" s="288"/>
      <c r="AA55" s="288"/>
      <c r="AB55" s="288"/>
      <c r="AC55" s="288">
        <v>39234477</v>
      </c>
      <c r="AD55" s="288">
        <v>13468315</v>
      </c>
      <c r="AE55" s="288"/>
      <c r="AF55" s="289"/>
      <c r="AG55" s="289">
        <f t="shared" si="0"/>
        <v>52702792</v>
      </c>
      <c r="AH55" s="1024"/>
      <c r="AI55" s="289"/>
      <c r="AJ55" s="289"/>
      <c r="AK55" s="289"/>
      <c r="AL55" s="289"/>
      <c r="AM55" s="289"/>
      <c r="AN55" s="289"/>
      <c r="AO55" s="289"/>
      <c r="AP55" s="289"/>
      <c r="AQ55" s="290"/>
      <c r="AR55" s="290"/>
      <c r="AS55" s="810"/>
    </row>
    <row r="56" spans="1:45" s="1" customFormat="1" ht="94.5" customHeight="1" thickBot="1">
      <c r="A56" s="752"/>
      <c r="B56" s="752"/>
      <c r="C56" s="752"/>
      <c r="D56" s="752"/>
      <c r="E56" s="752"/>
      <c r="F56" s="752"/>
      <c r="G56" s="73"/>
      <c r="H56" s="203"/>
      <c r="I56" s="79"/>
      <c r="J56" s="79"/>
      <c r="K56" s="79"/>
      <c r="L56" s="210"/>
      <c r="M56" s="209" t="s">
        <v>558</v>
      </c>
      <c r="N56" s="205">
        <v>100</v>
      </c>
      <c r="O56" s="324" t="s">
        <v>18</v>
      </c>
      <c r="P56" s="194">
        <v>0</v>
      </c>
      <c r="Q56" s="194">
        <v>100</v>
      </c>
      <c r="R56" s="194">
        <v>0</v>
      </c>
      <c r="S56" s="194">
        <v>0</v>
      </c>
      <c r="T56" s="232" t="s">
        <v>345</v>
      </c>
      <c r="U56" s="238"/>
      <c r="V56" s="172">
        <v>2744830570</v>
      </c>
      <c r="W56" s="172">
        <v>0</v>
      </c>
      <c r="X56" s="172">
        <f t="shared" ref="X56:X57" si="2">+V56+W56</f>
        <v>2744830570</v>
      </c>
      <c r="Y56" s="288"/>
      <c r="Z56" s="288"/>
      <c r="AA56" s="288"/>
      <c r="AB56" s="288"/>
      <c r="AC56" s="288">
        <v>445550656</v>
      </c>
      <c r="AD56" s="288">
        <v>420991312</v>
      </c>
      <c r="AE56" s="288"/>
      <c r="AF56" s="289"/>
      <c r="AG56" s="289">
        <f t="shared" si="0"/>
        <v>866541968</v>
      </c>
      <c r="AH56" s="375">
        <f t="shared" si="1"/>
        <v>0.31569962003155627</v>
      </c>
      <c r="AI56" s="289"/>
      <c r="AJ56" s="289"/>
      <c r="AK56" s="289"/>
      <c r="AL56" s="289"/>
      <c r="AM56" s="289"/>
      <c r="AN56" s="289"/>
      <c r="AO56" s="289"/>
      <c r="AP56" s="289"/>
      <c r="AQ56" s="290" t="s">
        <v>342</v>
      </c>
      <c r="AR56" s="290" t="s">
        <v>342</v>
      </c>
      <c r="AS56" s="810"/>
    </row>
    <row r="57" spans="1:45" s="1" customFormat="1" ht="94.5" customHeight="1" thickBot="1">
      <c r="A57" s="752"/>
      <c r="B57" s="752"/>
      <c r="C57" s="752"/>
      <c r="D57" s="752"/>
      <c r="E57" s="752"/>
      <c r="F57" s="752"/>
      <c r="G57" s="73"/>
      <c r="H57" s="203"/>
      <c r="I57" s="79"/>
      <c r="J57" s="79"/>
      <c r="K57" s="79"/>
      <c r="L57" s="210"/>
      <c r="M57" s="209" t="s">
        <v>560</v>
      </c>
      <c r="N57" s="278">
        <v>1</v>
      </c>
      <c r="O57" s="194" t="s">
        <v>452</v>
      </c>
      <c r="P57" s="194">
        <v>1</v>
      </c>
      <c r="Q57" s="194">
        <v>0</v>
      </c>
      <c r="R57" s="194">
        <v>0</v>
      </c>
      <c r="S57" s="194">
        <v>0</v>
      </c>
      <c r="T57" s="232" t="s">
        <v>23</v>
      </c>
      <c r="U57" s="238"/>
      <c r="V57" s="172">
        <v>100800000</v>
      </c>
      <c r="W57" s="172">
        <v>-100800000</v>
      </c>
      <c r="X57" s="172">
        <f t="shared" si="2"/>
        <v>0</v>
      </c>
      <c r="Y57" s="288"/>
      <c r="Z57" s="288"/>
      <c r="AA57" s="288"/>
      <c r="AB57" s="288"/>
      <c r="AC57" s="288">
        <v>0</v>
      </c>
      <c r="AD57" s="288"/>
      <c r="AE57" s="288"/>
      <c r="AF57" s="289"/>
      <c r="AG57" s="289">
        <f t="shared" si="0"/>
        <v>0</v>
      </c>
      <c r="AH57" s="375" t="e">
        <f t="shared" si="1"/>
        <v>#DIV/0!</v>
      </c>
      <c r="AI57" s="289"/>
      <c r="AJ57" s="289"/>
      <c r="AK57" s="289"/>
      <c r="AL57" s="289"/>
      <c r="AM57" s="289"/>
      <c r="AN57" s="289"/>
      <c r="AO57" s="289"/>
      <c r="AP57" s="289"/>
      <c r="AQ57" s="290" t="s">
        <v>342</v>
      </c>
      <c r="AR57" s="290" t="s">
        <v>342</v>
      </c>
      <c r="AS57" s="810"/>
    </row>
    <row r="58" spans="1:45" s="1" customFormat="1" ht="94.5" customHeight="1" thickBot="1">
      <c r="A58" s="752"/>
      <c r="B58" s="752"/>
      <c r="C58" s="752"/>
      <c r="D58" s="752"/>
      <c r="E58" s="752"/>
      <c r="F58" s="752"/>
      <c r="G58" s="73"/>
      <c r="H58" s="203"/>
      <c r="I58" s="79"/>
      <c r="J58" s="79"/>
      <c r="K58" s="79"/>
      <c r="L58" s="210"/>
      <c r="M58" s="209" t="s">
        <v>683</v>
      </c>
      <c r="N58" s="278">
        <v>1</v>
      </c>
      <c r="O58" s="194" t="s">
        <v>452</v>
      </c>
      <c r="P58" s="194">
        <v>1</v>
      </c>
      <c r="Q58" s="194">
        <v>1</v>
      </c>
      <c r="R58" s="194">
        <v>1</v>
      </c>
      <c r="S58" s="194">
        <v>1</v>
      </c>
      <c r="T58" s="232" t="s">
        <v>685</v>
      </c>
      <c r="U58" s="238"/>
      <c r="V58" s="172">
        <v>1535000000</v>
      </c>
      <c r="W58" s="172">
        <v>0</v>
      </c>
      <c r="X58" s="172">
        <f>+V58+W58</f>
        <v>1535000000</v>
      </c>
      <c r="Y58" s="288"/>
      <c r="Z58" s="288"/>
      <c r="AA58" s="288"/>
      <c r="AB58" s="288"/>
      <c r="AC58" s="288">
        <v>350435833</v>
      </c>
      <c r="AD58" s="288">
        <v>173840000</v>
      </c>
      <c r="AE58" s="288"/>
      <c r="AF58" s="289"/>
      <c r="AG58" s="289">
        <f t="shared" si="0"/>
        <v>524275833</v>
      </c>
      <c r="AH58" s="375">
        <f t="shared" si="1"/>
        <v>0.34154777394136809</v>
      </c>
      <c r="AI58" s="289"/>
      <c r="AJ58" s="289"/>
      <c r="AK58" s="289"/>
      <c r="AL58" s="289"/>
      <c r="AM58" s="289"/>
      <c r="AN58" s="289"/>
      <c r="AO58" s="289"/>
      <c r="AP58" s="289"/>
      <c r="AQ58" s="290"/>
      <c r="AR58" s="290"/>
      <c r="AS58" s="810"/>
    </row>
    <row r="59" spans="1:45" s="1" customFormat="1" ht="94.5" customHeight="1" thickBot="1">
      <c r="A59" s="752"/>
      <c r="B59" s="752"/>
      <c r="C59" s="752"/>
      <c r="D59" s="752"/>
      <c r="E59" s="752"/>
      <c r="F59" s="752"/>
      <c r="G59" s="73"/>
      <c r="H59" s="203"/>
      <c r="I59" s="79"/>
      <c r="J59" s="79"/>
      <c r="K59" s="79"/>
      <c r="L59" s="210"/>
      <c r="M59" s="209" t="s">
        <v>686</v>
      </c>
      <c r="N59" s="278">
        <v>1</v>
      </c>
      <c r="O59" s="194" t="s">
        <v>452</v>
      </c>
      <c r="P59" s="194">
        <v>1</v>
      </c>
      <c r="Q59" s="194">
        <v>1</v>
      </c>
      <c r="R59" s="194">
        <v>1</v>
      </c>
      <c r="S59" s="194">
        <v>1</v>
      </c>
      <c r="T59" s="232" t="s">
        <v>684</v>
      </c>
      <c r="U59" s="238"/>
      <c r="V59" s="172">
        <v>649425345</v>
      </c>
      <c r="W59" s="172">
        <v>0</v>
      </c>
      <c r="X59" s="172">
        <f>+V59+W59</f>
        <v>649425345</v>
      </c>
      <c r="Y59" s="288"/>
      <c r="Z59" s="288"/>
      <c r="AA59" s="288"/>
      <c r="AB59" s="288"/>
      <c r="AC59" s="288">
        <v>399594834</v>
      </c>
      <c r="AD59" s="288">
        <v>16400000</v>
      </c>
      <c r="AE59" s="288"/>
      <c r="AF59" s="289"/>
      <c r="AG59" s="289">
        <f t="shared" si="0"/>
        <v>415994834</v>
      </c>
      <c r="AH59" s="375">
        <f t="shared" si="1"/>
        <v>0.64055836009911193</v>
      </c>
      <c r="AI59" s="289"/>
      <c r="AJ59" s="289"/>
      <c r="AK59" s="289"/>
      <c r="AL59" s="289"/>
      <c r="AM59" s="289"/>
      <c r="AN59" s="289"/>
      <c r="AO59" s="289"/>
      <c r="AP59" s="289"/>
      <c r="AQ59" s="290"/>
      <c r="AR59" s="290"/>
      <c r="AS59" s="810"/>
    </row>
    <row r="60" spans="1:45" s="1" customFormat="1" ht="94.5" customHeight="1">
      <c r="A60" s="753"/>
      <c r="B60" s="753"/>
      <c r="C60" s="753"/>
      <c r="D60" s="753"/>
      <c r="E60" s="753"/>
      <c r="F60" s="753"/>
      <c r="G60" s="73"/>
      <c r="H60" s="203"/>
      <c r="I60" s="79"/>
      <c r="J60" s="79"/>
      <c r="K60" s="79"/>
      <c r="L60" s="203"/>
      <c r="M60" s="209" t="s">
        <v>559</v>
      </c>
      <c r="N60" s="278">
        <v>1</v>
      </c>
      <c r="O60" s="194" t="s">
        <v>452</v>
      </c>
      <c r="P60" s="194">
        <v>0</v>
      </c>
      <c r="Q60" s="194">
        <v>1</v>
      </c>
      <c r="R60" s="194">
        <v>0</v>
      </c>
      <c r="S60" s="194">
        <v>0</v>
      </c>
      <c r="T60" s="232" t="s">
        <v>26</v>
      </c>
      <c r="U60" s="238"/>
      <c r="V60" s="172">
        <v>8025774620</v>
      </c>
      <c r="W60" s="172">
        <v>1109774000</v>
      </c>
      <c r="X60" s="172">
        <f>+V60+W60</f>
        <v>9135548620</v>
      </c>
      <c r="Y60" s="288"/>
      <c r="Z60" s="288"/>
      <c r="AA60" s="288"/>
      <c r="AB60" s="288"/>
      <c r="AC60" s="288">
        <v>1661792515</v>
      </c>
      <c r="AD60" s="288">
        <v>1321567588</v>
      </c>
      <c r="AE60" s="288"/>
      <c r="AF60" s="289"/>
      <c r="AG60" s="289">
        <f t="shared" si="0"/>
        <v>2983360103</v>
      </c>
      <c r="AH60" s="375">
        <f t="shared" si="1"/>
        <v>0.32656605827357527</v>
      </c>
      <c r="AI60" s="289"/>
      <c r="AJ60" s="289"/>
      <c r="AK60" s="289"/>
      <c r="AL60" s="289"/>
      <c r="AM60" s="289"/>
      <c r="AN60" s="289"/>
      <c r="AO60" s="289"/>
      <c r="AP60" s="289"/>
      <c r="AQ60" s="290" t="s">
        <v>342</v>
      </c>
      <c r="AR60" s="290" t="s">
        <v>342</v>
      </c>
      <c r="AS60" s="810"/>
    </row>
    <row r="61" spans="1:45" s="1" customFormat="1" ht="35.25" customHeight="1" thickBot="1">
      <c r="A61" s="1027" t="s">
        <v>607</v>
      </c>
      <c r="B61" s="1028"/>
      <c r="C61" s="1028"/>
      <c r="D61" s="1028"/>
      <c r="E61" s="1028"/>
      <c r="F61" s="1028"/>
      <c r="G61" s="1028"/>
      <c r="H61" s="1028"/>
      <c r="I61" s="1028"/>
      <c r="J61" s="1028"/>
      <c r="K61" s="1028"/>
      <c r="L61" s="1028"/>
      <c r="M61" s="1029"/>
      <c r="N61" s="278">
        <f>N60+N57+N55+N54+N53+N52+N47+N44+N41+N34+N31+N28+N25+N19+N15+N13</f>
        <v>11282</v>
      </c>
      <c r="O61" s="278" t="s">
        <v>259</v>
      </c>
      <c r="P61" s="278">
        <f>P60+P57+P55+P54+P53+P52+P47+P44+P41+P34+P31+P28+P25+P19+P15+P13</f>
        <v>1863</v>
      </c>
      <c r="Q61" s="278">
        <f t="shared" ref="Q61:S61" si="3">Q60+Q57+Q55+Q54+Q53+Q52+Q47+Q44+Q41+Q34+Q31+Q28+Q25+Q19+Q15+Q13</f>
        <v>3292</v>
      </c>
      <c r="R61" s="278">
        <f t="shared" si="3"/>
        <v>3482</v>
      </c>
      <c r="S61" s="278">
        <f t="shared" si="3"/>
        <v>2645</v>
      </c>
      <c r="T61" s="278"/>
      <c r="U61" s="278"/>
      <c r="V61" s="1025">
        <f>SUM(V8:V60)</f>
        <v>47859140472</v>
      </c>
      <c r="W61" s="1025">
        <f>SUM(W8:W60)</f>
        <v>8852493873</v>
      </c>
      <c r="X61" s="1025">
        <f>SUM(X8:X60)</f>
        <v>56711634345</v>
      </c>
      <c r="Y61" s="278">
        <f>Y60+Y57+Y55+Y54+Y53+Y52+Y47+Y44+Y41+Y34+Y31+Y28+Y25+Y19+Y15+Y13</f>
        <v>0</v>
      </c>
      <c r="Z61" s="278">
        <f t="shared" ref="Z61:AB61" si="4">Z60+Z57+Z55+Z54+Z53+Z52+Z47+Z44+Z41+Z34+Z31+Z28+Z25+Z19+Z15+Z13</f>
        <v>0</v>
      </c>
      <c r="AA61" s="278">
        <f t="shared" si="4"/>
        <v>0</v>
      </c>
      <c r="AB61" s="278">
        <f t="shared" si="4"/>
        <v>0</v>
      </c>
      <c r="AC61" s="1025">
        <f>SUM(AC8:AC60)</f>
        <v>17771520610</v>
      </c>
      <c r="AD61" s="1025">
        <f>SUM(AD8:AD60)</f>
        <v>8718716884</v>
      </c>
      <c r="AE61" s="1025">
        <f>SUM(AE8:AE60)</f>
        <v>0</v>
      </c>
      <c r="AF61" s="1025">
        <f>SUM(AF8:AF60)</f>
        <v>0</v>
      </c>
      <c r="AG61" s="1025">
        <f>SUM(AG8:AG60)</f>
        <v>26490237494</v>
      </c>
      <c r="AH61" s="1023">
        <f t="shared" si="1"/>
        <v>0.46710411011696618</v>
      </c>
      <c r="AI61" s="278"/>
      <c r="AJ61" s="278"/>
      <c r="AK61" s="278"/>
      <c r="AL61" s="278"/>
      <c r="AM61" s="278"/>
      <c r="AN61" s="278"/>
      <c r="AO61" s="278"/>
      <c r="AP61" s="278"/>
      <c r="AQ61" s="278"/>
      <c r="AR61" s="293"/>
      <c r="AS61" s="810"/>
    </row>
    <row r="62" spans="1:45" s="1" customFormat="1" ht="24.75" customHeight="1" thickBot="1">
      <c r="A62" s="1030"/>
      <c r="B62" s="1031"/>
      <c r="C62" s="1031"/>
      <c r="D62" s="1031"/>
      <c r="E62" s="1031"/>
      <c r="F62" s="1031"/>
      <c r="G62" s="1031"/>
      <c r="H62" s="1031"/>
      <c r="I62" s="1031"/>
      <c r="J62" s="1031"/>
      <c r="K62" s="1031"/>
      <c r="L62" s="1031"/>
      <c r="M62" s="1032"/>
      <c r="N62" s="278">
        <v>100</v>
      </c>
      <c r="O62" s="278" t="s">
        <v>18</v>
      </c>
      <c r="P62" s="310">
        <v>1</v>
      </c>
      <c r="Q62" s="310">
        <v>1</v>
      </c>
      <c r="R62" s="310">
        <v>1</v>
      </c>
      <c r="S62" s="310">
        <v>1</v>
      </c>
      <c r="T62" s="240"/>
      <c r="U62" s="279"/>
      <c r="V62" s="1022"/>
      <c r="W62" s="1022"/>
      <c r="X62" s="1022"/>
      <c r="Y62" s="310">
        <f>AVERAGE(Y56+Y51+Y50+Y49+Y48+Y46+Y45+Y43+Y42+Y40+Y39+Y38+Y37+Y36+Y35+Y33+Y32+Y30+Y29+Y27+Y26+Y24+Y23+Y21+Y20+Y18+Y17+Y16+Y14+Y12+Y11+Y10+Y9+Y8)</f>
        <v>0</v>
      </c>
      <c r="Z62" s="310">
        <f t="shared" ref="Z62:AB62" si="5">AVERAGE(Z56+Z51+Z50+Z49+Z48+Z46+Z45+Z43+Z42+Z40+Z39+Z38+Z37+Z36+Z35+Z33+Z32+Z30+Z29+Z27+Z26+Z24+Z23+Z21+Z20+Z18+Z17+Z16+Z14+Z12+Z11+Z10+Z9+Z8)</f>
        <v>0</v>
      </c>
      <c r="AA62" s="310">
        <f t="shared" si="5"/>
        <v>0</v>
      </c>
      <c r="AB62" s="310">
        <f t="shared" si="5"/>
        <v>0</v>
      </c>
      <c r="AC62" s="1026"/>
      <c r="AD62" s="1026"/>
      <c r="AE62" s="1026"/>
      <c r="AF62" s="1026"/>
      <c r="AG62" s="1026"/>
      <c r="AH62" s="1024"/>
      <c r="AI62" s="278"/>
      <c r="AJ62" s="278"/>
      <c r="AK62" s="278"/>
      <c r="AL62" s="278"/>
      <c r="AM62" s="278"/>
      <c r="AN62" s="278"/>
      <c r="AO62" s="278"/>
      <c r="AP62" s="278"/>
      <c r="AQ62" s="278"/>
      <c r="AR62" s="290"/>
      <c r="AS62" s="810"/>
    </row>
    <row r="63" spans="1:45" s="1" customFormat="1" ht="86.25" customHeight="1" thickBot="1">
      <c r="A63" s="754" t="s">
        <v>224</v>
      </c>
      <c r="B63" s="754" t="s">
        <v>160</v>
      </c>
      <c r="C63" s="80" t="s">
        <v>161</v>
      </c>
      <c r="D63" s="76" t="s">
        <v>53</v>
      </c>
      <c r="E63" s="76">
        <v>5</v>
      </c>
      <c r="F63" s="81" t="s">
        <v>167</v>
      </c>
      <c r="G63" s="754" t="s">
        <v>170</v>
      </c>
      <c r="H63" s="203" t="s">
        <v>17</v>
      </c>
      <c r="I63" s="204" t="s">
        <v>51</v>
      </c>
      <c r="J63" s="82">
        <v>1</v>
      </c>
      <c r="K63" s="83"/>
      <c r="L63" s="76" t="s">
        <v>177</v>
      </c>
      <c r="M63" s="205" t="s">
        <v>548</v>
      </c>
      <c r="N63" s="76">
        <v>2</v>
      </c>
      <c r="O63" s="76" t="s">
        <v>452</v>
      </c>
      <c r="P63" s="76">
        <v>0</v>
      </c>
      <c r="Q63" s="76">
        <v>1</v>
      </c>
      <c r="R63" s="76">
        <v>0</v>
      </c>
      <c r="S63" s="76">
        <v>1</v>
      </c>
      <c r="T63" s="232" t="s">
        <v>343</v>
      </c>
      <c r="U63" s="238"/>
      <c r="V63" s="172">
        <v>0</v>
      </c>
      <c r="W63" s="172"/>
      <c r="X63" s="172">
        <f t="shared" ref="X63:X71" si="6">V63</f>
        <v>0</v>
      </c>
      <c r="Y63" s="288"/>
      <c r="Z63" s="288"/>
      <c r="AA63" s="288"/>
      <c r="AB63" s="288"/>
      <c r="AC63" s="288"/>
      <c r="AD63" s="288"/>
      <c r="AE63" s="288"/>
      <c r="AF63" s="289"/>
      <c r="AG63" s="289">
        <f t="shared" ref="AG63:AG71" si="7">+AC63+AD63+AE63+AF63</f>
        <v>0</v>
      </c>
      <c r="AH63" s="375" t="e">
        <f t="shared" si="1"/>
        <v>#DIV/0!</v>
      </c>
      <c r="AI63" s="289"/>
      <c r="AJ63" s="289"/>
      <c r="AK63" s="289"/>
      <c r="AL63" s="289"/>
      <c r="AM63" s="289"/>
      <c r="AN63" s="289"/>
      <c r="AO63" s="289"/>
      <c r="AP63" s="289"/>
      <c r="AQ63" s="290" t="s">
        <v>342</v>
      </c>
      <c r="AR63" s="290" t="s">
        <v>342</v>
      </c>
      <c r="AS63" s="811"/>
    </row>
    <row r="64" spans="1:45" s="1" customFormat="1" ht="86.25" customHeight="1" thickBot="1">
      <c r="A64" s="752"/>
      <c r="B64" s="752"/>
      <c r="C64" s="192"/>
      <c r="D64" s="192"/>
      <c r="E64" s="194"/>
      <c r="F64" s="212"/>
      <c r="G64" s="752"/>
      <c r="H64" s="203"/>
      <c r="I64" s="204"/>
      <c r="J64" s="82"/>
      <c r="K64" s="201"/>
      <c r="L64" s="193"/>
      <c r="M64" s="205" t="s">
        <v>549</v>
      </c>
      <c r="N64" s="76">
        <v>100</v>
      </c>
      <c r="O64" s="322" t="s">
        <v>510</v>
      </c>
      <c r="P64" s="76">
        <v>25</v>
      </c>
      <c r="Q64" s="76">
        <v>25</v>
      </c>
      <c r="R64" s="76">
        <v>25</v>
      </c>
      <c r="S64" s="76">
        <v>25</v>
      </c>
      <c r="T64" s="232"/>
      <c r="U64" s="77"/>
      <c r="V64" s="213"/>
      <c r="W64" s="213"/>
      <c r="X64" s="172"/>
      <c r="Y64" s="288"/>
      <c r="Z64" s="288"/>
      <c r="AA64" s="288"/>
      <c r="AB64" s="288"/>
      <c r="AC64" s="288"/>
      <c r="AD64" s="288"/>
      <c r="AE64" s="288"/>
      <c r="AF64" s="289"/>
      <c r="AG64" s="289">
        <f t="shared" si="7"/>
        <v>0</v>
      </c>
      <c r="AH64" s="375" t="e">
        <f t="shared" si="1"/>
        <v>#DIV/0!</v>
      </c>
      <c r="AI64" s="289"/>
      <c r="AJ64" s="289"/>
      <c r="AK64" s="289"/>
      <c r="AL64" s="289"/>
      <c r="AM64" s="289"/>
      <c r="AN64" s="289"/>
      <c r="AO64" s="289"/>
      <c r="AP64" s="289"/>
      <c r="AQ64" s="290"/>
      <c r="AR64" s="290"/>
      <c r="AS64" s="167"/>
    </row>
    <row r="65" spans="1:45" s="1" customFormat="1" ht="86.25" customHeight="1" thickBot="1">
      <c r="A65" s="752"/>
      <c r="B65" s="752"/>
      <c r="C65" s="192"/>
      <c r="D65" s="192"/>
      <c r="E65" s="194"/>
      <c r="F65" s="212"/>
      <c r="G65" s="766"/>
      <c r="H65" s="203"/>
      <c r="I65" s="204"/>
      <c r="J65" s="82"/>
      <c r="K65" s="201"/>
      <c r="L65" s="193"/>
      <c r="M65" s="205" t="s">
        <v>550</v>
      </c>
      <c r="N65" s="76">
        <v>2</v>
      </c>
      <c r="O65" s="76" t="s">
        <v>513</v>
      </c>
      <c r="P65" s="76">
        <v>0</v>
      </c>
      <c r="Q65" s="76">
        <v>1</v>
      </c>
      <c r="R65" s="76">
        <v>1</v>
      </c>
      <c r="S65" s="76">
        <v>0</v>
      </c>
      <c r="T65" s="232"/>
      <c r="U65" s="77"/>
      <c r="V65" s="213"/>
      <c r="W65" s="213"/>
      <c r="X65" s="172"/>
      <c r="Y65" s="288"/>
      <c r="Z65" s="288"/>
      <c r="AA65" s="288"/>
      <c r="AB65" s="288"/>
      <c r="AC65" s="288"/>
      <c r="AD65" s="288"/>
      <c r="AE65" s="288"/>
      <c r="AF65" s="289"/>
      <c r="AG65" s="289">
        <f t="shared" si="7"/>
        <v>0</v>
      </c>
      <c r="AH65" s="375" t="e">
        <f t="shared" si="1"/>
        <v>#DIV/0!</v>
      </c>
      <c r="AI65" s="289"/>
      <c r="AJ65" s="289"/>
      <c r="AK65" s="289"/>
      <c r="AL65" s="289"/>
      <c r="AM65" s="289"/>
      <c r="AN65" s="289"/>
      <c r="AO65" s="289"/>
      <c r="AP65" s="289"/>
      <c r="AQ65" s="290"/>
      <c r="AR65" s="290"/>
      <c r="AS65" s="167"/>
    </row>
    <row r="66" spans="1:45" s="1" customFormat="1" ht="86.25" customHeight="1" thickBot="1">
      <c r="A66" s="752"/>
      <c r="B66" s="752"/>
      <c r="C66" s="192"/>
      <c r="D66" s="192"/>
      <c r="E66" s="194"/>
      <c r="F66" s="212"/>
      <c r="G66" s="765" t="s">
        <v>171</v>
      </c>
      <c r="H66" s="203"/>
      <c r="I66" s="204"/>
      <c r="J66" s="82"/>
      <c r="K66" s="201"/>
      <c r="L66" s="193"/>
      <c r="M66" s="207" t="s">
        <v>551</v>
      </c>
      <c r="N66" s="71">
        <v>1</v>
      </c>
      <c r="O66" s="71" t="s">
        <v>513</v>
      </c>
      <c r="P66" s="71">
        <v>0</v>
      </c>
      <c r="Q66" s="71">
        <v>0</v>
      </c>
      <c r="R66" s="71">
        <v>0</v>
      </c>
      <c r="S66" s="71">
        <v>1</v>
      </c>
      <c r="T66" s="232"/>
      <c r="U66" s="234"/>
      <c r="V66" s="213"/>
      <c r="W66" s="213"/>
      <c r="X66" s="172"/>
      <c r="Y66" s="288"/>
      <c r="Z66" s="288"/>
      <c r="AA66" s="288"/>
      <c r="AB66" s="288"/>
      <c r="AC66" s="288"/>
      <c r="AD66" s="288"/>
      <c r="AE66" s="288"/>
      <c r="AF66" s="289"/>
      <c r="AG66" s="289">
        <f t="shared" si="7"/>
        <v>0</v>
      </c>
      <c r="AH66" s="375" t="e">
        <f t="shared" si="1"/>
        <v>#DIV/0!</v>
      </c>
      <c r="AI66" s="289"/>
      <c r="AJ66" s="289"/>
      <c r="AK66" s="289"/>
      <c r="AL66" s="289"/>
      <c r="AM66" s="289"/>
      <c r="AN66" s="289"/>
      <c r="AO66" s="289"/>
      <c r="AP66" s="289"/>
      <c r="AQ66" s="290"/>
      <c r="AR66" s="290"/>
      <c r="AS66" s="167"/>
    </row>
    <row r="67" spans="1:45" s="1" customFormat="1" ht="144" customHeight="1" thickBot="1">
      <c r="A67" s="752"/>
      <c r="B67" s="752"/>
      <c r="C67" s="765" t="s">
        <v>162</v>
      </c>
      <c r="D67" s="765" t="s">
        <v>18</v>
      </c>
      <c r="E67" s="754">
        <v>5</v>
      </c>
      <c r="F67" s="67" t="s">
        <v>166</v>
      </c>
      <c r="G67" s="753"/>
      <c r="H67" s="203" t="s">
        <v>17</v>
      </c>
      <c r="I67" s="204" t="s">
        <v>51</v>
      </c>
      <c r="J67" s="82">
        <v>1</v>
      </c>
      <c r="K67" s="68"/>
      <c r="L67" s="71" t="s">
        <v>176</v>
      </c>
      <c r="M67" s="208" t="s">
        <v>552</v>
      </c>
      <c r="N67" s="193">
        <v>1</v>
      </c>
      <c r="O67" s="193" t="s">
        <v>513</v>
      </c>
      <c r="P67" s="193">
        <v>0</v>
      </c>
      <c r="Q67" s="193">
        <v>0</v>
      </c>
      <c r="R67" s="193">
        <v>0</v>
      </c>
      <c r="S67" s="193">
        <v>1</v>
      </c>
      <c r="T67" s="232" t="s">
        <v>343</v>
      </c>
      <c r="U67" s="234"/>
      <c r="V67" s="221"/>
      <c r="W67" s="221"/>
      <c r="X67" s="172">
        <f t="shared" si="6"/>
        <v>0</v>
      </c>
      <c r="Y67" s="288"/>
      <c r="Z67" s="288"/>
      <c r="AA67" s="288"/>
      <c r="AB67" s="288"/>
      <c r="AC67" s="288"/>
      <c r="AD67" s="288"/>
      <c r="AE67" s="288"/>
      <c r="AF67" s="289"/>
      <c r="AG67" s="289">
        <f t="shared" si="7"/>
        <v>0</v>
      </c>
      <c r="AH67" s="375" t="e">
        <f t="shared" si="1"/>
        <v>#DIV/0!</v>
      </c>
      <c r="AI67" s="289"/>
      <c r="AJ67" s="289"/>
      <c r="AK67" s="289"/>
      <c r="AL67" s="289"/>
      <c r="AM67" s="289"/>
      <c r="AN67" s="289"/>
      <c r="AO67" s="289"/>
      <c r="AP67" s="289"/>
      <c r="AQ67" s="290" t="s">
        <v>342</v>
      </c>
      <c r="AR67" s="290" t="s">
        <v>342</v>
      </c>
      <c r="AS67" s="809" t="s">
        <v>331</v>
      </c>
    </row>
    <row r="68" spans="1:45" s="1" customFormat="1" ht="144" customHeight="1" thickBot="1">
      <c r="A68" s="752"/>
      <c r="B68" s="752"/>
      <c r="C68" s="766"/>
      <c r="D68" s="753"/>
      <c r="E68" s="753"/>
      <c r="F68" s="73" t="s">
        <v>168</v>
      </c>
      <c r="G68" s="805" t="s">
        <v>172</v>
      </c>
      <c r="H68" s="203" t="s">
        <v>17</v>
      </c>
      <c r="I68" s="204" t="s">
        <v>51</v>
      </c>
      <c r="J68" s="82">
        <v>1</v>
      </c>
      <c r="K68" s="231"/>
      <c r="L68" s="231" t="s">
        <v>175</v>
      </c>
      <c r="M68" s="205" t="s">
        <v>556</v>
      </c>
      <c r="N68" s="76">
        <v>1</v>
      </c>
      <c r="O68" s="76" t="s">
        <v>513</v>
      </c>
      <c r="P68" s="76">
        <v>0</v>
      </c>
      <c r="Q68" s="76">
        <v>0</v>
      </c>
      <c r="R68" s="76">
        <v>1</v>
      </c>
      <c r="S68" s="76">
        <v>0</v>
      </c>
      <c r="T68" s="214" t="s">
        <v>343</v>
      </c>
      <c r="U68" s="234"/>
      <c r="V68" s="221"/>
      <c r="W68" s="221"/>
      <c r="X68" s="172">
        <f t="shared" si="6"/>
        <v>0</v>
      </c>
      <c r="Y68" s="288"/>
      <c r="Z68" s="288"/>
      <c r="AA68" s="288"/>
      <c r="AB68" s="288"/>
      <c r="AC68" s="288"/>
      <c r="AD68" s="288"/>
      <c r="AE68" s="288"/>
      <c r="AF68" s="289"/>
      <c r="AG68" s="289">
        <f t="shared" si="7"/>
        <v>0</v>
      </c>
      <c r="AH68" s="375" t="e">
        <f t="shared" si="1"/>
        <v>#DIV/0!</v>
      </c>
      <c r="AI68" s="289"/>
      <c r="AJ68" s="289"/>
      <c r="AK68" s="289"/>
      <c r="AL68" s="289"/>
      <c r="AM68" s="289"/>
      <c r="AN68" s="289"/>
      <c r="AO68" s="289"/>
      <c r="AP68" s="289"/>
      <c r="AQ68" s="290" t="s">
        <v>342</v>
      </c>
      <c r="AR68" s="290" t="s">
        <v>342</v>
      </c>
      <c r="AS68" s="810"/>
    </row>
    <row r="69" spans="1:45" s="1" customFormat="1" ht="144" customHeight="1" thickBot="1">
      <c r="A69" s="752"/>
      <c r="B69" s="752"/>
      <c r="C69" s="211"/>
      <c r="D69" s="192"/>
      <c r="E69" s="192"/>
      <c r="F69" s="212"/>
      <c r="G69" s="805"/>
      <c r="H69" s="210"/>
      <c r="I69" s="235"/>
      <c r="J69" s="82"/>
      <c r="K69" s="230"/>
      <c r="L69" s="230"/>
      <c r="M69" s="205" t="s">
        <v>553</v>
      </c>
      <c r="N69" s="76">
        <v>100</v>
      </c>
      <c r="O69" s="322" t="s">
        <v>510</v>
      </c>
      <c r="P69" s="76">
        <v>25</v>
      </c>
      <c r="Q69" s="76">
        <v>25</v>
      </c>
      <c r="R69" s="76">
        <v>25</v>
      </c>
      <c r="S69" s="76">
        <v>25</v>
      </c>
      <c r="T69" s="214"/>
      <c r="U69" s="233"/>
      <c r="V69" s="220"/>
      <c r="W69" s="220"/>
      <c r="X69" s="172"/>
      <c r="Y69" s="288"/>
      <c r="Z69" s="288"/>
      <c r="AA69" s="288"/>
      <c r="AB69" s="288"/>
      <c r="AC69" s="288"/>
      <c r="AD69" s="288"/>
      <c r="AE69" s="288"/>
      <c r="AF69" s="289"/>
      <c r="AG69" s="289">
        <f t="shared" si="7"/>
        <v>0</v>
      </c>
      <c r="AH69" s="375" t="e">
        <f t="shared" si="1"/>
        <v>#DIV/0!</v>
      </c>
      <c r="AI69" s="289"/>
      <c r="AJ69" s="289"/>
      <c r="AK69" s="289"/>
      <c r="AL69" s="289"/>
      <c r="AM69" s="289"/>
      <c r="AN69" s="289"/>
      <c r="AO69" s="289"/>
      <c r="AP69" s="289"/>
      <c r="AQ69" s="290"/>
      <c r="AR69" s="290"/>
      <c r="AS69" s="810"/>
    </row>
    <row r="70" spans="1:45" s="1" customFormat="1" ht="144" customHeight="1" thickBot="1">
      <c r="A70" s="752"/>
      <c r="B70" s="752"/>
      <c r="C70" s="211"/>
      <c r="D70" s="192"/>
      <c r="E70" s="192"/>
      <c r="F70" s="212"/>
      <c r="G70" s="805"/>
      <c r="H70" s="210"/>
      <c r="I70" s="235"/>
      <c r="J70" s="82"/>
      <c r="K70" s="230"/>
      <c r="L70" s="230"/>
      <c r="M70" s="205" t="s">
        <v>554</v>
      </c>
      <c r="N70" s="76">
        <v>100</v>
      </c>
      <c r="O70" s="322" t="s">
        <v>358</v>
      </c>
      <c r="P70" s="76">
        <v>25</v>
      </c>
      <c r="Q70" s="76">
        <v>25</v>
      </c>
      <c r="R70" s="76">
        <v>25</v>
      </c>
      <c r="S70" s="76">
        <v>25</v>
      </c>
      <c r="T70" s="214"/>
      <c r="U70" s="233"/>
      <c r="V70" s="220"/>
      <c r="W70" s="220"/>
      <c r="X70" s="172"/>
      <c r="Y70" s="288"/>
      <c r="Z70" s="288"/>
      <c r="AA70" s="288"/>
      <c r="AB70" s="288"/>
      <c r="AC70" s="288"/>
      <c r="AD70" s="288"/>
      <c r="AE70" s="288"/>
      <c r="AF70" s="289"/>
      <c r="AG70" s="289">
        <f t="shared" si="7"/>
        <v>0</v>
      </c>
      <c r="AH70" s="375" t="e">
        <f t="shared" si="1"/>
        <v>#DIV/0!</v>
      </c>
      <c r="AI70" s="289"/>
      <c r="AJ70" s="289"/>
      <c r="AK70" s="289"/>
      <c r="AL70" s="289"/>
      <c r="AM70" s="289"/>
      <c r="AN70" s="289"/>
      <c r="AO70" s="289"/>
      <c r="AP70" s="289"/>
      <c r="AQ70" s="290"/>
      <c r="AR70" s="290"/>
      <c r="AS70" s="810"/>
    </row>
    <row r="71" spans="1:45" s="1" customFormat="1" ht="84" customHeight="1" thickBot="1">
      <c r="A71" s="766"/>
      <c r="B71" s="766"/>
      <c r="C71" s="86" t="s">
        <v>163</v>
      </c>
      <c r="D71" s="80" t="s">
        <v>164</v>
      </c>
      <c r="E71" s="80">
        <v>3</v>
      </c>
      <c r="F71" s="81" t="s">
        <v>169</v>
      </c>
      <c r="G71" s="87" t="s">
        <v>173</v>
      </c>
      <c r="H71" s="81" t="s">
        <v>18</v>
      </c>
      <c r="I71" s="82" t="s">
        <v>51</v>
      </c>
      <c r="J71" s="82">
        <v>50</v>
      </c>
      <c r="K71" s="82"/>
      <c r="L71" s="80" t="s">
        <v>174</v>
      </c>
      <c r="M71" s="206" t="s">
        <v>555</v>
      </c>
      <c r="N71" s="80">
        <v>100</v>
      </c>
      <c r="O71" s="325" t="s">
        <v>510</v>
      </c>
      <c r="P71" s="80">
        <v>25</v>
      </c>
      <c r="Q71" s="80">
        <v>25</v>
      </c>
      <c r="R71" s="80">
        <v>25</v>
      </c>
      <c r="S71" s="80">
        <v>25</v>
      </c>
      <c r="T71" s="232" t="s">
        <v>343</v>
      </c>
      <c r="U71" s="84"/>
      <c r="V71" s="85">
        <v>400000000</v>
      </c>
      <c r="W71" s="219"/>
      <c r="X71" s="172">
        <f t="shared" si="6"/>
        <v>400000000</v>
      </c>
      <c r="Y71" s="288"/>
      <c r="Z71" s="288"/>
      <c r="AA71" s="288"/>
      <c r="AB71" s="288"/>
      <c r="AC71" s="288">
        <v>133808605</v>
      </c>
      <c r="AD71" s="288">
        <v>63501578</v>
      </c>
      <c r="AE71" s="288"/>
      <c r="AF71" s="289"/>
      <c r="AG71" s="289">
        <f t="shared" si="7"/>
        <v>197310183</v>
      </c>
      <c r="AH71" s="375">
        <f t="shared" si="1"/>
        <v>0.49327545750000001</v>
      </c>
      <c r="AI71" s="289"/>
      <c r="AJ71" s="289"/>
      <c r="AK71" s="289"/>
      <c r="AL71" s="289"/>
      <c r="AM71" s="289"/>
      <c r="AN71" s="289"/>
      <c r="AO71" s="289"/>
      <c r="AP71" s="289"/>
      <c r="AQ71" s="290" t="s">
        <v>342</v>
      </c>
      <c r="AR71" s="290" t="s">
        <v>342</v>
      </c>
      <c r="AS71" s="811"/>
    </row>
    <row r="72" spans="1:45" s="1" customFormat="1" ht="33.75" customHeight="1" thickBot="1">
      <c r="A72" s="1027" t="s">
        <v>607</v>
      </c>
      <c r="B72" s="1028"/>
      <c r="C72" s="1028"/>
      <c r="D72" s="1028"/>
      <c r="E72" s="1028"/>
      <c r="F72" s="1028"/>
      <c r="G72" s="1028"/>
      <c r="H72" s="1028"/>
      <c r="I72" s="1028"/>
      <c r="J72" s="1028"/>
      <c r="K72" s="1028"/>
      <c r="L72" s="1028"/>
      <c r="M72" s="1029"/>
      <c r="N72" s="278">
        <f>N68+N67+N66+N65+N63</f>
        <v>7</v>
      </c>
      <c r="O72" s="278" t="s">
        <v>259</v>
      </c>
      <c r="P72" s="278">
        <f>P68+P67+P66+P65+P63</f>
        <v>0</v>
      </c>
      <c r="Q72" s="278">
        <f t="shared" ref="Q72:S72" si="8">Q68+Q67+Q66+Q65+Q63</f>
        <v>2</v>
      </c>
      <c r="R72" s="278">
        <f t="shared" si="8"/>
        <v>2</v>
      </c>
      <c r="S72" s="278">
        <f t="shared" si="8"/>
        <v>3</v>
      </c>
      <c r="T72" s="278"/>
      <c r="U72" s="278"/>
      <c r="V72" s="1021">
        <f>V71+V70+V69+V68+V67+V66+V65+V64+V63</f>
        <v>400000000</v>
      </c>
      <c r="W72" s="368"/>
      <c r="X72" s="1021">
        <f>X71+X70+X69+X68+X67+X66+X65+X64+X63</f>
        <v>400000000</v>
      </c>
      <c r="Y72" s="278">
        <f>Y68+Y67+Y66+Y65+Y63</f>
        <v>0</v>
      </c>
      <c r="Z72" s="278">
        <f t="shared" ref="Z72:AB72" si="9">Z68+Z67+Z66+Z65+Z63</f>
        <v>0</v>
      </c>
      <c r="AA72" s="278">
        <f t="shared" si="9"/>
        <v>0</v>
      </c>
      <c r="AB72" s="278">
        <f t="shared" si="9"/>
        <v>0</v>
      </c>
      <c r="AC72" s="1021">
        <f t="shared" ref="AC72:AG72" si="10">AC71+AC70+AC69+AC68+AC67+AC66+AC65+AC64+AC63</f>
        <v>133808605</v>
      </c>
      <c r="AD72" s="1021">
        <f t="shared" si="10"/>
        <v>63501578</v>
      </c>
      <c r="AE72" s="1021">
        <f t="shared" si="10"/>
        <v>0</v>
      </c>
      <c r="AF72" s="1021">
        <f t="shared" si="10"/>
        <v>0</v>
      </c>
      <c r="AG72" s="1021">
        <f t="shared" si="10"/>
        <v>197310183</v>
      </c>
      <c r="AH72" s="1023">
        <f t="shared" si="1"/>
        <v>0.49327545750000001</v>
      </c>
      <c r="AI72" s="1021"/>
      <c r="AJ72" s="1021"/>
      <c r="AK72" s="278"/>
      <c r="AL72" s="278"/>
      <c r="AM72" s="278"/>
      <c r="AN72" s="278"/>
      <c r="AO72" s="278"/>
      <c r="AP72" s="278"/>
      <c r="AQ72" s="278"/>
      <c r="AR72" s="278"/>
    </row>
    <row r="73" spans="1:45" s="1" customFormat="1" ht="33" customHeight="1">
      <c r="A73" s="1030"/>
      <c r="B73" s="1031"/>
      <c r="C73" s="1031"/>
      <c r="D73" s="1031"/>
      <c r="E73" s="1031"/>
      <c r="F73" s="1031"/>
      <c r="G73" s="1031"/>
      <c r="H73" s="1031"/>
      <c r="I73" s="1031"/>
      <c r="J73" s="1031"/>
      <c r="K73" s="1031"/>
      <c r="L73" s="1031"/>
      <c r="M73" s="1032"/>
      <c r="N73" s="239">
        <v>100</v>
      </c>
      <c r="O73" s="239" t="s">
        <v>18</v>
      </c>
      <c r="P73" s="310">
        <v>1</v>
      </c>
      <c r="Q73" s="310">
        <v>1</v>
      </c>
      <c r="R73" s="310">
        <v>1</v>
      </c>
      <c r="S73" s="310">
        <v>1</v>
      </c>
      <c r="T73" s="240"/>
      <c r="U73" s="243"/>
      <c r="V73" s="1022"/>
      <c r="W73" s="283"/>
      <c r="X73" s="1022"/>
      <c r="Y73" s="310">
        <f>AVERAGE(Y71+Y70+Y69+Y64)</f>
        <v>0</v>
      </c>
      <c r="Z73" s="310">
        <f t="shared" ref="Z73:AB73" si="11">AVERAGE(Z71+Z70+Z69+Z64)</f>
        <v>0</v>
      </c>
      <c r="AA73" s="310">
        <f t="shared" si="11"/>
        <v>0</v>
      </c>
      <c r="AB73" s="310">
        <f t="shared" si="11"/>
        <v>0</v>
      </c>
      <c r="AC73" s="1022"/>
      <c r="AD73" s="1022"/>
      <c r="AE73" s="1022"/>
      <c r="AF73" s="1022"/>
      <c r="AG73" s="1022"/>
      <c r="AH73" s="1024"/>
      <c r="AI73" s="1022"/>
      <c r="AJ73" s="1022"/>
      <c r="AK73" s="284"/>
      <c r="AL73" s="284"/>
      <c r="AM73" s="284"/>
      <c r="AN73" s="284"/>
      <c r="AO73" s="284"/>
      <c r="AP73" s="284"/>
      <c r="AQ73" s="285"/>
      <c r="AR73" s="285"/>
    </row>
    <row r="74" spans="1:45" s="1" customFormat="1">
      <c r="A74" s="3"/>
      <c r="B74" s="3"/>
      <c r="C74" s="3"/>
      <c r="D74" s="3"/>
      <c r="E74" s="3"/>
      <c r="F74" s="3"/>
      <c r="G74" s="3"/>
      <c r="H74" s="3"/>
      <c r="M74" s="5"/>
      <c r="N74" s="3"/>
      <c r="O74" s="3"/>
      <c r="P74" s="3"/>
      <c r="Q74" s="3"/>
      <c r="R74" s="3"/>
      <c r="S74" s="3"/>
      <c r="T74" s="3" t="e">
        <f>+T73-#REF!</f>
        <v>#REF!</v>
      </c>
      <c r="U74" s="3"/>
      <c r="V74" s="7"/>
      <c r="W74" s="7"/>
      <c r="X74" s="7"/>
      <c r="Y74" s="7"/>
      <c r="Z74" s="7"/>
      <c r="AA74" s="7"/>
      <c r="AB74" s="7"/>
      <c r="AC74" s="7"/>
      <c r="AD74" s="7"/>
      <c r="AE74" s="7"/>
      <c r="AF74" s="7"/>
      <c r="AG74" s="7"/>
      <c r="AH74" s="7"/>
      <c r="AI74" s="7"/>
      <c r="AJ74" s="7"/>
      <c r="AK74" s="7"/>
      <c r="AL74" s="7"/>
      <c r="AM74" s="7"/>
      <c r="AN74" s="7"/>
      <c r="AO74" s="7"/>
      <c r="AP74" s="7"/>
      <c r="AQ74" s="3"/>
      <c r="AR74" s="3"/>
    </row>
    <row r="75" spans="1:45" s="1" customFormat="1" ht="15" customHeight="1">
      <c r="A75" s="3"/>
      <c r="B75" s="3"/>
      <c r="C75" s="3"/>
      <c r="D75" s="3"/>
      <c r="E75" s="3"/>
      <c r="F75" s="3"/>
      <c r="G75" s="3"/>
      <c r="H75" s="3"/>
      <c r="M75" s="5"/>
      <c r="N75" s="3"/>
      <c r="O75" s="3"/>
      <c r="P75" s="3"/>
      <c r="Q75" s="3"/>
      <c r="R75" s="3"/>
      <c r="S75" s="3"/>
      <c r="T75" s="3"/>
      <c r="U75" s="3"/>
      <c r="V75" s="7"/>
      <c r="W75" s="7"/>
      <c r="X75" s="7"/>
      <c r="Y75" s="7"/>
      <c r="Z75" s="7"/>
      <c r="AA75" s="7"/>
      <c r="AB75" s="7"/>
      <c r="AC75" s="7"/>
      <c r="AD75" s="7"/>
      <c r="AE75" s="7"/>
      <c r="AF75" s="7"/>
      <c r="AG75" s="7"/>
      <c r="AH75" s="7"/>
      <c r="AI75" s="7"/>
      <c r="AJ75" s="7"/>
      <c r="AK75" s="7"/>
      <c r="AL75" s="7"/>
      <c r="AM75" s="7"/>
      <c r="AN75" s="7"/>
      <c r="AO75" s="7"/>
      <c r="AP75" s="7"/>
      <c r="AQ75" s="3"/>
      <c r="AR75" s="3"/>
    </row>
    <row r="76" spans="1:45" s="1" customFormat="1" ht="15">
      <c r="A76" s="987" t="s">
        <v>601</v>
      </c>
      <c r="B76" s="987"/>
      <c r="C76" s="987"/>
      <c r="D76" s="987"/>
      <c r="E76" s="987"/>
      <c r="F76" s="987"/>
      <c r="G76" s="987"/>
      <c r="H76" s="987"/>
      <c r="I76" s="987"/>
      <c r="J76" s="987"/>
      <c r="K76" s="987"/>
      <c r="L76" s="987"/>
      <c r="M76" s="987"/>
      <c r="N76" s="987"/>
      <c r="O76" s="987"/>
      <c r="P76" s="3"/>
      <c r="Q76" s="3"/>
      <c r="R76" s="3"/>
      <c r="S76" s="3"/>
      <c r="T76" s="3"/>
      <c r="U76" s="3"/>
      <c r="V76" s="7"/>
      <c r="W76" s="7"/>
      <c r="X76" s="7"/>
      <c r="Y76" s="7"/>
      <c r="Z76" s="7"/>
      <c r="AA76" s="7"/>
      <c r="AB76" s="7"/>
      <c r="AC76" s="7"/>
      <c r="AD76" s="7"/>
      <c r="AE76" s="7"/>
      <c r="AF76" s="7"/>
      <c r="AG76" s="7"/>
      <c r="AH76" s="7"/>
      <c r="AI76" s="7"/>
      <c r="AJ76" s="7"/>
      <c r="AK76" s="7"/>
      <c r="AL76" s="7"/>
      <c r="AM76" s="7"/>
      <c r="AN76" s="7"/>
      <c r="AO76" s="7"/>
      <c r="AP76" s="7"/>
      <c r="AQ76" s="3"/>
      <c r="AR76" s="3"/>
    </row>
    <row r="77" spans="1:45" s="1" customFormat="1" ht="90">
      <c r="A77" s="269" t="s">
        <v>598</v>
      </c>
      <c r="B77" s="270" t="s">
        <v>587</v>
      </c>
      <c r="C77" s="270" t="s">
        <v>588</v>
      </c>
      <c r="D77" s="270" t="s">
        <v>589</v>
      </c>
      <c r="E77" s="270" t="s">
        <v>590</v>
      </c>
      <c r="F77" s="270" t="s">
        <v>589</v>
      </c>
      <c r="G77" s="270" t="s">
        <v>591</v>
      </c>
      <c r="H77" s="270" t="s">
        <v>589</v>
      </c>
      <c r="I77" s="270"/>
      <c r="J77" s="271"/>
      <c r="K77" s="271"/>
      <c r="L77" s="271"/>
      <c r="M77" s="270" t="s">
        <v>589</v>
      </c>
      <c r="N77" s="270" t="s">
        <v>592</v>
      </c>
      <c r="O77" s="270" t="s">
        <v>589</v>
      </c>
      <c r="P77" s="3"/>
      <c r="Q77" s="3"/>
      <c r="R77" s="3"/>
      <c r="S77" s="3"/>
      <c r="T77" s="13" t="e">
        <f>#REF!-#REF!</f>
        <v>#REF!</v>
      </c>
      <c r="U77" s="3"/>
      <c r="V77" s="7"/>
      <c r="W77" s="7"/>
      <c r="X77" s="7"/>
      <c r="Y77" s="7"/>
      <c r="Z77" s="7"/>
      <c r="AA77" s="7"/>
      <c r="AB77" s="7"/>
      <c r="AC77" s="7"/>
      <c r="AD77" s="7"/>
      <c r="AE77" s="7"/>
      <c r="AF77" s="7"/>
      <c r="AG77" s="7"/>
      <c r="AH77" s="7"/>
      <c r="AI77" s="7"/>
      <c r="AJ77" s="7"/>
      <c r="AK77" s="7"/>
      <c r="AL77" s="7"/>
      <c r="AM77" s="7"/>
      <c r="AN77" s="7"/>
      <c r="AO77" s="7"/>
      <c r="AP77" s="7"/>
      <c r="AQ77" s="3"/>
      <c r="AR77" s="3"/>
    </row>
    <row r="78" spans="1:45" s="1" customFormat="1">
      <c r="A78" s="259" t="s">
        <v>599</v>
      </c>
      <c r="B78" s="259">
        <f>N61</f>
        <v>11282</v>
      </c>
      <c r="C78" s="259">
        <f>Y61</f>
        <v>0</v>
      </c>
      <c r="D78" s="266">
        <f>B78*C78/100</f>
        <v>0</v>
      </c>
      <c r="E78" s="259">
        <f>Z61</f>
        <v>0</v>
      </c>
      <c r="F78" s="266">
        <f>B78*E78/100</f>
        <v>0</v>
      </c>
      <c r="G78" s="259">
        <f>AA61</f>
        <v>0</v>
      </c>
      <c r="H78" s="259"/>
      <c r="I78" s="260"/>
      <c r="J78" s="260"/>
      <c r="K78" s="260"/>
      <c r="L78" s="260"/>
      <c r="M78" s="266">
        <f>B78*G78/100</f>
        <v>0</v>
      </c>
      <c r="N78" s="259">
        <f>AB61</f>
        <v>0</v>
      </c>
      <c r="O78" s="266">
        <f>B78*N78/100</f>
        <v>0</v>
      </c>
      <c r="P78" s="3"/>
      <c r="Q78" s="3"/>
      <c r="R78" s="3"/>
      <c r="S78" s="3"/>
      <c r="T78" s="3"/>
      <c r="U78" s="14"/>
      <c r="V78" s="7"/>
      <c r="W78" s="7"/>
      <c r="X78" s="7"/>
      <c r="Y78" s="7"/>
      <c r="Z78" s="7"/>
      <c r="AA78" s="7"/>
      <c r="AB78" s="7"/>
      <c r="AC78" s="7"/>
      <c r="AD78" s="7"/>
      <c r="AE78" s="7"/>
      <c r="AF78" s="7"/>
      <c r="AG78" s="7"/>
      <c r="AH78" s="7"/>
      <c r="AI78" s="7"/>
      <c r="AJ78" s="7"/>
      <c r="AK78" s="7"/>
      <c r="AL78" s="7"/>
      <c r="AM78" s="7"/>
      <c r="AN78" s="7"/>
      <c r="AO78" s="7"/>
      <c r="AP78" s="7"/>
      <c r="AQ78" s="3"/>
      <c r="AR78" s="3"/>
    </row>
    <row r="79" spans="1:45" s="1" customFormat="1" ht="23.25">
      <c r="A79" s="259" t="s">
        <v>18</v>
      </c>
      <c r="B79" s="266">
        <v>1</v>
      </c>
      <c r="C79" s="266">
        <f>Y62</f>
        <v>0</v>
      </c>
      <c r="D79" s="266">
        <f>B79*C79/100</f>
        <v>0</v>
      </c>
      <c r="E79" s="266">
        <f>Z62</f>
        <v>0</v>
      </c>
      <c r="F79" s="266">
        <f>B79*E79/100</f>
        <v>0</v>
      </c>
      <c r="G79" s="266">
        <f>AA62</f>
        <v>0</v>
      </c>
      <c r="H79" s="259"/>
      <c r="I79" s="260"/>
      <c r="J79" s="260"/>
      <c r="K79" s="260"/>
      <c r="L79" s="260"/>
      <c r="M79" s="266">
        <f>B79*G79/100</f>
        <v>0</v>
      </c>
      <c r="N79" s="266">
        <f>AB62</f>
        <v>0</v>
      </c>
      <c r="O79" s="266">
        <f>B79*N79/100</f>
        <v>0</v>
      </c>
      <c r="P79" s="3"/>
      <c r="Q79" s="3"/>
      <c r="R79" s="3"/>
      <c r="S79" s="3"/>
      <c r="T79" s="3"/>
      <c r="U79" s="3"/>
      <c r="V79" s="7"/>
      <c r="W79" s="7"/>
      <c r="X79" s="12"/>
      <c r="Y79" s="245"/>
      <c r="Z79" s="245"/>
      <c r="AA79" s="245"/>
      <c r="AB79" s="245"/>
      <c r="AC79" s="245"/>
      <c r="AD79" s="245"/>
      <c r="AE79" s="245"/>
      <c r="AF79" s="245"/>
      <c r="AG79" s="245"/>
      <c r="AH79" s="245"/>
      <c r="AI79" s="245"/>
      <c r="AJ79" s="245"/>
      <c r="AK79" s="245"/>
      <c r="AL79" s="245"/>
      <c r="AM79" s="245"/>
      <c r="AN79" s="245"/>
      <c r="AO79" s="245"/>
      <c r="AP79" s="245"/>
      <c r="AQ79" s="13" t="e">
        <f>X79-#REF!</f>
        <v>#REF!</v>
      </c>
      <c r="AR79" s="3"/>
    </row>
    <row r="80" spans="1:45" s="1" customFormat="1" ht="15" customHeight="1">
      <c r="A80" s="3"/>
      <c r="B80" s="3"/>
      <c r="C80" s="3"/>
      <c r="D80" s="3"/>
      <c r="E80" s="3"/>
      <c r="F80" s="3"/>
      <c r="G80" s="3"/>
      <c r="H80" s="3"/>
      <c r="M80" s="5"/>
      <c r="N80" s="3"/>
      <c r="O80" s="3"/>
      <c r="P80" s="3"/>
      <c r="Q80" s="3"/>
      <c r="R80" s="3"/>
      <c r="S80" s="3"/>
      <c r="T80" s="3"/>
      <c r="U80" s="3"/>
      <c r="V80" s="7"/>
      <c r="W80" s="7"/>
      <c r="X80" s="7"/>
      <c r="Y80" s="7"/>
      <c r="Z80" s="7"/>
      <c r="AA80" s="7"/>
      <c r="AB80" s="7"/>
      <c r="AC80" s="7"/>
      <c r="AD80" s="7"/>
      <c r="AE80" s="7"/>
      <c r="AF80" s="7"/>
      <c r="AG80" s="7"/>
      <c r="AH80" s="7"/>
      <c r="AI80" s="7"/>
      <c r="AJ80" s="7"/>
      <c r="AK80" s="7"/>
      <c r="AL80" s="7"/>
      <c r="AM80" s="7"/>
      <c r="AN80" s="7"/>
      <c r="AO80" s="7"/>
      <c r="AP80" s="7"/>
      <c r="AQ80" s="3"/>
      <c r="AR80" s="3"/>
    </row>
    <row r="81" spans="1:44" s="1" customFormat="1" ht="15">
      <c r="A81" s="988" t="s">
        <v>602</v>
      </c>
      <c r="B81" s="988"/>
      <c r="C81" s="988"/>
      <c r="D81" s="988"/>
      <c r="E81" s="988"/>
      <c r="F81" s="988"/>
      <c r="G81" s="988"/>
      <c r="H81" s="988"/>
      <c r="I81" s="988"/>
      <c r="J81" s="988"/>
      <c r="K81" s="988"/>
      <c r="L81" s="988"/>
      <c r="M81" s="988"/>
      <c r="N81" s="988"/>
      <c r="O81" s="3"/>
      <c r="P81" s="3"/>
      <c r="Q81" s="3"/>
      <c r="R81" s="3"/>
      <c r="S81" s="3"/>
      <c r="T81" s="13" t="e">
        <f>#REF!-#REF!</f>
        <v>#REF!</v>
      </c>
      <c r="U81" s="3"/>
      <c r="V81" s="7"/>
      <c r="W81" s="7"/>
      <c r="X81" s="7"/>
      <c r="Y81" s="7"/>
      <c r="Z81" s="7"/>
      <c r="AA81" s="7"/>
      <c r="AB81" s="7"/>
      <c r="AC81" s="7"/>
      <c r="AD81" s="7"/>
      <c r="AE81" s="7"/>
      <c r="AF81" s="7"/>
      <c r="AG81" s="7"/>
      <c r="AH81" s="7"/>
      <c r="AI81" s="7"/>
      <c r="AJ81" s="7"/>
      <c r="AK81" s="7"/>
      <c r="AL81" s="7"/>
      <c r="AM81" s="7"/>
      <c r="AN81" s="7"/>
      <c r="AO81" s="7"/>
      <c r="AP81" s="7"/>
      <c r="AQ81" s="3"/>
      <c r="AR81" s="3"/>
    </row>
    <row r="82" spans="1:44" s="1" customFormat="1" ht="45">
      <c r="A82" s="267" t="s">
        <v>593</v>
      </c>
      <c r="B82" s="267" t="s">
        <v>594</v>
      </c>
      <c r="C82" s="267" t="s">
        <v>589</v>
      </c>
      <c r="D82" s="267" t="s">
        <v>595</v>
      </c>
      <c r="E82" s="267" t="s">
        <v>589</v>
      </c>
      <c r="F82" s="267" t="s">
        <v>596</v>
      </c>
      <c r="G82" s="267" t="s">
        <v>589</v>
      </c>
      <c r="H82" s="267"/>
      <c r="I82" s="268"/>
      <c r="J82" s="268"/>
      <c r="K82" s="268"/>
      <c r="L82" s="268"/>
      <c r="M82" s="267" t="s">
        <v>597</v>
      </c>
      <c r="N82" s="267" t="s">
        <v>589</v>
      </c>
      <c r="O82" s="3"/>
      <c r="P82" s="3"/>
      <c r="Q82" s="3"/>
      <c r="R82" s="3"/>
      <c r="S82" s="3"/>
      <c r="T82" s="3"/>
      <c r="U82" s="3"/>
      <c r="V82" s="7"/>
      <c r="W82" s="7"/>
      <c r="X82" s="7"/>
      <c r="Y82" s="7"/>
      <c r="Z82" s="7"/>
      <c r="AA82" s="7"/>
      <c r="AB82" s="7"/>
      <c r="AC82" s="7"/>
      <c r="AD82" s="7"/>
      <c r="AE82" s="7"/>
      <c r="AF82" s="7"/>
      <c r="AG82" s="7"/>
      <c r="AH82" s="7"/>
      <c r="AI82" s="7"/>
      <c r="AJ82" s="7"/>
      <c r="AK82" s="7"/>
      <c r="AL82" s="7"/>
      <c r="AM82" s="7"/>
      <c r="AN82" s="7"/>
      <c r="AO82" s="7"/>
      <c r="AP82" s="7"/>
      <c r="AQ82" s="3"/>
      <c r="AR82" s="3"/>
    </row>
    <row r="83" spans="1:44" s="1" customFormat="1">
      <c r="A83" s="263">
        <f>X61</f>
        <v>56711634345</v>
      </c>
      <c r="B83" s="263">
        <f>AC61</f>
        <v>17771520610</v>
      </c>
      <c r="C83" s="266">
        <f>A83*B83/100</f>
        <v>1.0078519785889513E+19</v>
      </c>
      <c r="D83" s="263">
        <f>AD61</f>
        <v>8718716884</v>
      </c>
      <c r="E83" s="266">
        <f>A83*D83/100</f>
        <v>4.9445268388298578E+18</v>
      </c>
      <c r="F83" s="263">
        <f>AE49</f>
        <v>0</v>
      </c>
      <c r="G83" s="266">
        <f>A83*F83/100</f>
        <v>0</v>
      </c>
      <c r="H83" s="259"/>
      <c r="I83" s="260"/>
      <c r="J83" s="260"/>
      <c r="K83" s="260"/>
      <c r="L83" s="260"/>
      <c r="M83" s="275">
        <f>AF49</f>
        <v>0</v>
      </c>
      <c r="N83" s="266">
        <f>A83*M83/100</f>
        <v>0</v>
      </c>
      <c r="O83" s="3"/>
      <c r="P83" s="3"/>
      <c r="Q83" s="3"/>
      <c r="R83" s="3"/>
      <c r="S83" s="3"/>
      <c r="T83" s="3"/>
      <c r="U83" s="3"/>
      <c r="V83" s="7"/>
      <c r="W83" s="7"/>
      <c r="X83" s="7"/>
      <c r="Y83" s="7"/>
      <c r="Z83" s="7"/>
      <c r="AA83" s="7"/>
      <c r="AB83" s="7"/>
      <c r="AC83" s="7"/>
      <c r="AD83" s="7"/>
      <c r="AE83" s="7"/>
      <c r="AF83" s="7"/>
      <c r="AG83" s="7"/>
      <c r="AH83" s="7"/>
      <c r="AI83" s="7"/>
      <c r="AJ83" s="7"/>
      <c r="AK83" s="7"/>
      <c r="AL83" s="7"/>
      <c r="AM83" s="7"/>
      <c r="AN83" s="7"/>
      <c r="AO83" s="7"/>
      <c r="AP83" s="7"/>
      <c r="AQ83" s="3"/>
      <c r="AR83" s="3"/>
    </row>
    <row r="84" spans="1:44" s="1" customFormat="1">
      <c r="A84" s="259"/>
      <c r="B84" s="259"/>
      <c r="C84" s="259"/>
      <c r="D84" s="259"/>
      <c r="E84" s="259"/>
      <c r="F84" s="259"/>
      <c r="G84" s="259"/>
      <c r="H84" s="259"/>
      <c r="I84" s="260"/>
      <c r="J84" s="260"/>
      <c r="K84" s="260"/>
      <c r="L84" s="260"/>
      <c r="M84" s="261"/>
      <c r="N84" s="259"/>
      <c r="O84" s="3"/>
      <c r="P84" s="3"/>
      <c r="Q84" s="3"/>
      <c r="R84" s="3"/>
      <c r="S84" s="3"/>
      <c r="T84" s="3"/>
      <c r="U84" s="3"/>
      <c r="V84" s="7"/>
      <c r="W84" s="7"/>
      <c r="X84" s="7"/>
      <c r="Y84" s="7"/>
      <c r="Z84" s="7"/>
      <c r="AA84" s="7"/>
      <c r="AB84" s="7"/>
      <c r="AC84" s="7"/>
      <c r="AD84" s="7"/>
      <c r="AE84" s="7"/>
      <c r="AF84" s="7"/>
      <c r="AG84" s="7"/>
      <c r="AH84" s="7"/>
      <c r="AI84" s="7"/>
      <c r="AJ84" s="7"/>
      <c r="AK84" s="7"/>
      <c r="AL84" s="7"/>
      <c r="AM84" s="7"/>
      <c r="AN84" s="7"/>
      <c r="AO84" s="7"/>
      <c r="AP84" s="7"/>
      <c r="AQ84" s="3"/>
      <c r="AR84" s="3"/>
    </row>
    <row r="85" spans="1:44" s="1" customFormat="1" ht="15" customHeight="1">
      <c r="A85" s="3"/>
      <c r="B85" s="3"/>
      <c r="C85" s="3"/>
      <c r="D85" s="3"/>
      <c r="E85" s="3"/>
      <c r="F85" s="3"/>
      <c r="G85" s="3"/>
      <c r="H85" s="3"/>
      <c r="M85" s="5"/>
      <c r="N85" s="3"/>
      <c r="O85" s="3"/>
      <c r="P85" s="3"/>
      <c r="Q85" s="3"/>
      <c r="R85" s="3"/>
      <c r="S85" s="3"/>
      <c r="T85" s="3"/>
      <c r="U85" s="3"/>
      <c r="V85" s="7"/>
      <c r="W85" s="7"/>
      <c r="X85" s="7"/>
      <c r="Y85" s="7"/>
      <c r="Z85" s="7"/>
      <c r="AA85" s="7"/>
      <c r="AB85" s="7"/>
      <c r="AC85" s="7"/>
      <c r="AD85" s="7"/>
      <c r="AE85" s="7"/>
      <c r="AF85" s="7"/>
      <c r="AG85" s="7"/>
      <c r="AH85" s="7"/>
      <c r="AI85" s="7"/>
      <c r="AJ85" s="7"/>
      <c r="AK85" s="7"/>
      <c r="AL85" s="7"/>
      <c r="AM85" s="7"/>
      <c r="AN85" s="7"/>
      <c r="AO85" s="7"/>
      <c r="AP85" s="7"/>
      <c r="AQ85" s="3"/>
      <c r="AR85" s="3"/>
    </row>
    <row r="86" spans="1:44" s="1" customFormat="1" ht="15">
      <c r="A86" s="987" t="s">
        <v>603</v>
      </c>
      <c r="B86" s="987"/>
      <c r="C86" s="987"/>
      <c r="D86" s="987"/>
      <c r="E86" s="987"/>
      <c r="F86" s="987"/>
      <c r="G86" s="987"/>
      <c r="H86" s="987"/>
      <c r="I86" s="987"/>
      <c r="J86" s="987"/>
      <c r="K86" s="987"/>
      <c r="L86" s="987"/>
      <c r="M86" s="987"/>
      <c r="N86" s="987"/>
      <c r="O86" s="987"/>
      <c r="P86" s="3"/>
      <c r="Q86" s="3"/>
      <c r="R86" s="3"/>
      <c r="S86" s="3"/>
      <c r="T86" s="3"/>
      <c r="U86" s="3"/>
      <c r="V86" s="7"/>
      <c r="W86" s="7"/>
      <c r="X86" s="7"/>
      <c r="Y86" s="7"/>
      <c r="Z86" s="7"/>
      <c r="AA86" s="7"/>
      <c r="AB86" s="7"/>
      <c r="AC86" s="7"/>
      <c r="AD86" s="7"/>
      <c r="AE86" s="7"/>
      <c r="AF86" s="7"/>
      <c r="AG86" s="7"/>
      <c r="AH86" s="7"/>
      <c r="AI86" s="7"/>
      <c r="AJ86" s="7"/>
      <c r="AK86" s="7"/>
      <c r="AL86" s="7"/>
      <c r="AM86" s="7"/>
      <c r="AN86" s="7"/>
      <c r="AO86" s="7"/>
      <c r="AP86" s="7"/>
      <c r="AQ86" s="3"/>
      <c r="AR86" s="3"/>
    </row>
    <row r="87" spans="1:44" s="1" customFormat="1" ht="90">
      <c r="A87" s="269" t="s">
        <v>598</v>
      </c>
      <c r="B87" s="270" t="s">
        <v>587</v>
      </c>
      <c r="C87" s="270" t="s">
        <v>588</v>
      </c>
      <c r="D87" s="270" t="s">
        <v>589</v>
      </c>
      <c r="E87" s="270" t="s">
        <v>590</v>
      </c>
      <c r="F87" s="270" t="s">
        <v>589</v>
      </c>
      <c r="G87" s="270" t="s">
        <v>591</v>
      </c>
      <c r="H87" s="270" t="s">
        <v>589</v>
      </c>
      <c r="I87" s="270"/>
      <c r="J87" s="271"/>
      <c r="K87" s="271"/>
      <c r="L87" s="271"/>
      <c r="M87" s="270" t="s">
        <v>589</v>
      </c>
      <c r="N87" s="270" t="s">
        <v>592</v>
      </c>
      <c r="O87" s="270" t="s">
        <v>589</v>
      </c>
      <c r="P87" s="3"/>
      <c r="Q87" s="3"/>
      <c r="R87" s="3"/>
      <c r="S87" s="3"/>
      <c r="T87" s="3"/>
      <c r="U87" s="3"/>
      <c r="V87" s="7"/>
      <c r="W87" s="7"/>
      <c r="X87" s="7"/>
      <c r="Y87" s="7"/>
      <c r="Z87" s="7"/>
      <c r="AA87" s="7"/>
      <c r="AB87" s="7"/>
      <c r="AC87" s="7"/>
      <c r="AD87" s="7"/>
      <c r="AE87" s="7"/>
      <c r="AF87" s="7"/>
      <c r="AG87" s="7"/>
      <c r="AH87" s="7"/>
      <c r="AI87" s="7"/>
      <c r="AJ87" s="7"/>
      <c r="AK87" s="7"/>
      <c r="AL87" s="7"/>
      <c r="AM87" s="7"/>
      <c r="AN87" s="7"/>
      <c r="AO87" s="7"/>
      <c r="AP87" s="7"/>
      <c r="AQ87" s="3"/>
      <c r="AR87" s="3"/>
    </row>
    <row r="88" spans="1:44" s="1" customFormat="1">
      <c r="A88" s="259" t="s">
        <v>599</v>
      </c>
      <c r="B88" s="259">
        <f>N72</f>
        <v>7</v>
      </c>
      <c r="C88" s="259">
        <f>Y72</f>
        <v>0</v>
      </c>
      <c r="D88" s="266">
        <f>B88*C88/100</f>
        <v>0</v>
      </c>
      <c r="E88" s="259">
        <f>Z72</f>
        <v>0</v>
      </c>
      <c r="F88" s="266">
        <f>B88*E88/100</f>
        <v>0</v>
      </c>
      <c r="G88" s="259">
        <f>AA72</f>
        <v>0</v>
      </c>
      <c r="H88" s="259"/>
      <c r="I88" s="260"/>
      <c r="J88" s="260"/>
      <c r="K88" s="260"/>
      <c r="L88" s="260"/>
      <c r="M88" s="266">
        <f>B88*G88/100</f>
        <v>0</v>
      </c>
      <c r="N88" s="259">
        <f>AB72</f>
        <v>0</v>
      </c>
      <c r="O88" s="266">
        <f>B88*N88/100</f>
        <v>0</v>
      </c>
      <c r="P88" s="3"/>
      <c r="Q88" s="3"/>
      <c r="R88" s="3"/>
      <c r="S88" s="3"/>
      <c r="T88" s="3"/>
      <c r="U88" s="3"/>
      <c r="V88" s="7"/>
      <c r="W88" s="7"/>
      <c r="X88" s="7"/>
      <c r="Y88" s="7"/>
      <c r="Z88" s="7"/>
      <c r="AA88" s="7"/>
      <c r="AB88" s="7"/>
      <c r="AC88" s="7"/>
      <c r="AD88" s="7"/>
      <c r="AE88" s="7"/>
      <c r="AF88" s="7"/>
      <c r="AG88" s="7"/>
      <c r="AH88" s="7"/>
      <c r="AI88" s="7"/>
      <c r="AJ88" s="7"/>
      <c r="AK88" s="7"/>
      <c r="AL88" s="7"/>
      <c r="AM88" s="7"/>
      <c r="AN88" s="7"/>
      <c r="AO88" s="7"/>
      <c r="AP88" s="7"/>
      <c r="AQ88" s="3"/>
      <c r="AR88" s="3"/>
    </row>
    <row r="89" spans="1:44" s="1" customFormat="1">
      <c r="A89" s="259" t="s">
        <v>18</v>
      </c>
      <c r="B89" s="266">
        <v>1</v>
      </c>
      <c r="C89" s="266">
        <f>Y73</f>
        <v>0</v>
      </c>
      <c r="D89" s="266">
        <v>0</v>
      </c>
      <c r="E89" s="266">
        <f>Z73</f>
        <v>0</v>
      </c>
      <c r="F89" s="266">
        <f>B89*E89/100</f>
        <v>0</v>
      </c>
      <c r="G89" s="266">
        <f>AA73</f>
        <v>0</v>
      </c>
      <c r="H89" s="259"/>
      <c r="I89" s="260"/>
      <c r="J89" s="260"/>
      <c r="K89" s="260"/>
      <c r="L89" s="260"/>
      <c r="M89" s="266">
        <f>B89*G89/100</f>
        <v>0</v>
      </c>
      <c r="N89" s="266">
        <f>AB73</f>
        <v>0</v>
      </c>
      <c r="O89" s="266">
        <f>B89*N89/100</f>
        <v>0</v>
      </c>
      <c r="P89" s="3"/>
      <c r="Q89" s="3"/>
      <c r="R89" s="3"/>
      <c r="S89" s="3"/>
      <c r="T89" s="3"/>
      <c r="U89" s="3"/>
      <c r="V89" s="7"/>
      <c r="W89" s="7"/>
      <c r="X89" s="7"/>
      <c r="Y89" s="7"/>
      <c r="Z89" s="7"/>
      <c r="AA89" s="7"/>
      <c r="AB89" s="7"/>
      <c r="AC89" s="7"/>
      <c r="AD89" s="7"/>
      <c r="AE89" s="7"/>
      <c r="AF89" s="7"/>
      <c r="AG89" s="7"/>
      <c r="AH89" s="7"/>
      <c r="AI89" s="7"/>
      <c r="AJ89" s="7"/>
      <c r="AK89" s="7"/>
      <c r="AL89" s="7"/>
      <c r="AM89" s="7"/>
      <c r="AN89" s="7"/>
      <c r="AO89" s="7"/>
      <c r="AP89" s="7"/>
      <c r="AQ89" s="3"/>
      <c r="AR89" s="3"/>
    </row>
    <row r="90" spans="1:44" s="1" customFormat="1" ht="15" customHeight="1">
      <c r="A90" s="3"/>
      <c r="B90" s="3"/>
      <c r="C90" s="3"/>
      <c r="D90" s="3"/>
      <c r="E90" s="3"/>
      <c r="F90" s="3"/>
      <c r="G90" s="3"/>
      <c r="H90" s="3"/>
      <c r="M90" s="5"/>
      <c r="N90" s="3"/>
      <c r="O90" s="3"/>
      <c r="P90" s="3"/>
      <c r="Q90" s="3"/>
      <c r="R90" s="3"/>
      <c r="S90" s="3"/>
      <c r="T90" s="3"/>
      <c r="U90" s="3"/>
      <c r="V90" s="7"/>
      <c r="W90" s="7"/>
      <c r="X90" s="7"/>
      <c r="Y90" s="7"/>
      <c r="Z90" s="7"/>
      <c r="AA90" s="7"/>
      <c r="AB90" s="7"/>
      <c r="AC90" s="7"/>
      <c r="AD90" s="7"/>
      <c r="AE90" s="7"/>
      <c r="AF90" s="7"/>
      <c r="AG90" s="7"/>
      <c r="AH90" s="7"/>
      <c r="AI90" s="7"/>
      <c r="AJ90" s="7"/>
      <c r="AK90" s="7"/>
      <c r="AL90" s="7"/>
      <c r="AM90" s="7"/>
      <c r="AN90" s="7"/>
      <c r="AO90" s="7"/>
      <c r="AP90" s="7"/>
      <c r="AQ90" s="3"/>
      <c r="AR90" s="3"/>
    </row>
    <row r="91" spans="1:44" s="1" customFormat="1" ht="15">
      <c r="A91" s="988" t="s">
        <v>604</v>
      </c>
      <c r="B91" s="988"/>
      <c r="C91" s="988"/>
      <c r="D91" s="988"/>
      <c r="E91" s="988"/>
      <c r="F91" s="988"/>
      <c r="G91" s="988"/>
      <c r="H91" s="988"/>
      <c r="I91" s="988"/>
      <c r="J91" s="988"/>
      <c r="K91" s="988"/>
      <c r="L91" s="988"/>
      <c r="M91" s="988"/>
      <c r="N91" s="988"/>
      <c r="O91" s="3"/>
      <c r="P91" s="3"/>
      <c r="Q91" s="3"/>
      <c r="R91" s="3"/>
      <c r="S91" s="3"/>
      <c r="T91" s="3"/>
      <c r="U91" s="3"/>
      <c r="V91" s="7"/>
      <c r="W91" s="7"/>
      <c r="X91" s="7"/>
      <c r="Y91" s="7"/>
      <c r="Z91" s="7"/>
      <c r="AA91" s="7"/>
      <c r="AB91" s="7"/>
      <c r="AC91" s="7"/>
      <c r="AD91" s="7"/>
      <c r="AE91" s="7"/>
      <c r="AF91" s="7"/>
      <c r="AG91" s="7"/>
      <c r="AH91" s="7"/>
      <c r="AI91" s="7"/>
      <c r="AJ91" s="7"/>
      <c r="AK91" s="7"/>
      <c r="AL91" s="7"/>
      <c r="AM91" s="7"/>
      <c r="AN91" s="7"/>
      <c r="AO91" s="7"/>
      <c r="AP91" s="7"/>
      <c r="AQ91" s="3"/>
      <c r="AR91" s="3"/>
    </row>
    <row r="92" spans="1:44" s="1" customFormat="1" ht="45">
      <c r="A92" s="267" t="s">
        <v>593</v>
      </c>
      <c r="B92" s="267" t="s">
        <v>594</v>
      </c>
      <c r="C92" s="267" t="s">
        <v>589</v>
      </c>
      <c r="D92" s="267" t="s">
        <v>595</v>
      </c>
      <c r="E92" s="267" t="s">
        <v>589</v>
      </c>
      <c r="F92" s="267" t="s">
        <v>596</v>
      </c>
      <c r="G92" s="267" t="s">
        <v>589</v>
      </c>
      <c r="H92" s="267"/>
      <c r="I92" s="268"/>
      <c r="J92" s="268"/>
      <c r="K92" s="268"/>
      <c r="L92" s="268"/>
      <c r="M92" s="267" t="s">
        <v>597</v>
      </c>
      <c r="N92" s="267" t="s">
        <v>589</v>
      </c>
      <c r="O92" s="3"/>
      <c r="P92" s="3"/>
      <c r="Q92" s="3"/>
      <c r="R92" s="3"/>
      <c r="S92" s="3"/>
      <c r="T92" s="3"/>
      <c r="U92" s="3"/>
      <c r="V92" s="7"/>
      <c r="W92" s="7"/>
      <c r="X92" s="7"/>
      <c r="Y92" s="7"/>
      <c r="Z92" s="7"/>
      <c r="AA92" s="7"/>
      <c r="AB92" s="7"/>
      <c r="AC92" s="7"/>
      <c r="AD92" s="7"/>
      <c r="AE92" s="7"/>
      <c r="AF92" s="7"/>
      <c r="AG92" s="7"/>
      <c r="AH92" s="7"/>
      <c r="AI92" s="7"/>
      <c r="AJ92" s="7"/>
      <c r="AK92" s="7"/>
      <c r="AL92" s="7"/>
      <c r="AM92" s="7"/>
      <c r="AN92" s="7"/>
      <c r="AO92" s="7"/>
      <c r="AP92" s="7"/>
      <c r="AQ92" s="3"/>
      <c r="AR92" s="3"/>
    </row>
    <row r="93" spans="1:44" s="1" customFormat="1" ht="15">
      <c r="A93" s="272">
        <f>X71</f>
        <v>400000000</v>
      </c>
      <c r="B93" s="272">
        <f>AC71</f>
        <v>133808605</v>
      </c>
      <c r="C93" s="311">
        <f>A93*B93/100</f>
        <v>535234420000000</v>
      </c>
      <c r="D93" s="272">
        <f>AD71</f>
        <v>63501578</v>
      </c>
      <c r="E93" s="312">
        <f>A93*D93/100</f>
        <v>254006312000000</v>
      </c>
      <c r="F93" s="272">
        <f>AE71</f>
        <v>0</v>
      </c>
      <c r="G93" s="312">
        <f>A93*F93/100</f>
        <v>0</v>
      </c>
      <c r="H93" s="262"/>
      <c r="I93" s="273"/>
      <c r="J93" s="273"/>
      <c r="K93" s="273"/>
      <c r="L93" s="273"/>
      <c r="M93" s="276">
        <f>AF71</f>
        <v>0</v>
      </c>
      <c r="N93" s="312">
        <f>A93*M93/100</f>
        <v>0</v>
      </c>
      <c r="O93" s="3"/>
      <c r="P93" s="3"/>
      <c r="Q93" s="3"/>
      <c r="R93" s="3"/>
      <c r="S93" s="3"/>
      <c r="T93" s="3"/>
      <c r="U93" s="3"/>
      <c r="V93" s="7"/>
      <c r="W93" s="7"/>
      <c r="X93" s="7"/>
      <c r="Y93" s="7"/>
      <c r="Z93" s="7"/>
      <c r="AA93" s="7"/>
      <c r="AB93" s="7"/>
      <c r="AC93" s="7"/>
      <c r="AD93" s="7"/>
      <c r="AE93" s="7"/>
      <c r="AF93" s="7"/>
      <c r="AG93" s="7"/>
      <c r="AH93" s="7"/>
      <c r="AI93" s="7"/>
      <c r="AJ93" s="7"/>
      <c r="AK93" s="7"/>
      <c r="AL93" s="7"/>
      <c r="AM93" s="7"/>
      <c r="AN93" s="7"/>
      <c r="AO93" s="7"/>
      <c r="AP93" s="7"/>
      <c r="AQ93" s="3"/>
      <c r="AR93" s="3"/>
    </row>
    <row r="94" spans="1:44" s="1" customFormat="1">
      <c r="A94" s="259"/>
      <c r="B94" s="259"/>
      <c r="C94" s="259"/>
      <c r="D94" s="259"/>
      <c r="E94" s="259"/>
      <c r="F94" s="259"/>
      <c r="G94" s="259"/>
      <c r="H94" s="259"/>
      <c r="I94" s="260"/>
      <c r="J94" s="260"/>
      <c r="K94" s="260"/>
      <c r="L94" s="260"/>
      <c r="M94" s="261"/>
      <c r="N94" s="259"/>
      <c r="O94" s="3"/>
      <c r="P94" s="3"/>
      <c r="Q94" s="3"/>
      <c r="R94" s="3"/>
      <c r="S94" s="3"/>
      <c r="T94" s="3"/>
      <c r="U94" s="3"/>
      <c r="V94" s="7"/>
      <c r="W94" s="7"/>
      <c r="X94" s="7"/>
      <c r="Y94" s="7"/>
      <c r="Z94" s="7"/>
      <c r="AA94" s="7"/>
      <c r="AB94" s="7"/>
      <c r="AC94" s="7"/>
      <c r="AD94" s="7"/>
      <c r="AE94" s="7"/>
      <c r="AF94" s="7"/>
      <c r="AG94" s="7"/>
      <c r="AH94" s="7"/>
      <c r="AI94" s="7"/>
      <c r="AJ94" s="7"/>
      <c r="AK94" s="7"/>
      <c r="AL94" s="7"/>
      <c r="AM94" s="7"/>
      <c r="AN94" s="7"/>
      <c r="AO94" s="7"/>
      <c r="AP94" s="7"/>
      <c r="AQ94" s="3"/>
      <c r="AR94" s="3"/>
    </row>
    <row r="95" spans="1:44" s="1" customFormat="1">
      <c r="A95" s="3"/>
      <c r="B95" s="3"/>
      <c r="C95" s="3"/>
      <c r="D95" s="3"/>
      <c r="E95" s="3"/>
      <c r="F95" s="3"/>
      <c r="G95" s="3"/>
      <c r="H95" s="3"/>
      <c r="M95" s="5"/>
      <c r="N95" s="3"/>
      <c r="O95" s="3"/>
      <c r="P95" s="3"/>
      <c r="Q95" s="3"/>
      <c r="R95" s="3"/>
      <c r="S95" s="3"/>
      <c r="T95" s="3"/>
      <c r="U95" s="3"/>
      <c r="V95" s="7"/>
      <c r="W95" s="7"/>
      <c r="X95" s="7"/>
      <c r="Y95" s="7"/>
      <c r="Z95" s="7"/>
      <c r="AA95" s="7"/>
      <c r="AB95" s="7"/>
      <c r="AC95" s="7"/>
      <c r="AD95" s="7"/>
      <c r="AE95" s="7"/>
      <c r="AF95" s="7"/>
      <c r="AG95" s="7"/>
      <c r="AH95" s="7"/>
      <c r="AI95" s="7"/>
      <c r="AJ95" s="7"/>
      <c r="AK95" s="7"/>
      <c r="AL95" s="7"/>
      <c r="AM95" s="7"/>
      <c r="AN95" s="7"/>
      <c r="AO95" s="7"/>
      <c r="AP95" s="7"/>
      <c r="AQ95" s="3"/>
      <c r="AR95" s="3"/>
    </row>
    <row r="96" spans="1:44" s="1" customFormat="1" ht="15" customHeight="1">
      <c r="A96" s="3"/>
      <c r="B96" s="3"/>
      <c r="C96" s="3"/>
      <c r="D96" s="3"/>
      <c r="E96" s="3"/>
      <c r="F96" s="3"/>
      <c r="G96" s="3"/>
      <c r="H96" s="3"/>
      <c r="I96" s="2"/>
      <c r="J96" s="2"/>
      <c r="K96" s="2"/>
      <c r="L96" s="2"/>
      <c r="M96" s="5"/>
      <c r="N96" s="3"/>
      <c r="O96" s="3"/>
      <c r="P96" s="3"/>
      <c r="Q96" s="3"/>
      <c r="R96" s="3"/>
      <c r="S96" s="3"/>
      <c r="T96" s="3"/>
      <c r="U96" s="3"/>
      <c r="V96" s="7"/>
      <c r="W96" s="7"/>
      <c r="X96" s="7"/>
      <c r="Y96" s="7"/>
      <c r="Z96" s="7"/>
      <c r="AA96" s="7"/>
      <c r="AB96" s="7"/>
      <c r="AC96" s="7"/>
      <c r="AD96" s="7"/>
      <c r="AE96" s="7"/>
      <c r="AF96" s="7"/>
      <c r="AG96" s="7"/>
      <c r="AH96" s="7"/>
      <c r="AI96" s="7"/>
      <c r="AJ96" s="7"/>
      <c r="AK96" s="7"/>
      <c r="AL96" s="7"/>
      <c r="AM96" s="7"/>
      <c r="AN96" s="7"/>
      <c r="AO96" s="7"/>
      <c r="AP96" s="7"/>
      <c r="AQ96" s="3"/>
      <c r="AR96" s="3"/>
    </row>
    <row r="97" spans="1:15" ht="15">
      <c r="A97" s="987" t="s">
        <v>600</v>
      </c>
      <c r="B97" s="987"/>
      <c r="C97" s="987"/>
      <c r="D97" s="987"/>
      <c r="E97" s="987"/>
      <c r="F97" s="987"/>
      <c r="G97" s="987"/>
      <c r="H97" s="987"/>
      <c r="I97" s="987"/>
      <c r="J97" s="987"/>
      <c r="K97" s="987"/>
      <c r="L97" s="987"/>
      <c r="M97" s="987"/>
      <c r="N97" s="987"/>
      <c r="O97" s="987"/>
    </row>
    <row r="98" spans="1:15" ht="90">
      <c r="A98" s="269" t="s">
        <v>598</v>
      </c>
      <c r="B98" s="270" t="s">
        <v>587</v>
      </c>
      <c r="C98" s="270" t="s">
        <v>588</v>
      </c>
      <c r="D98" s="270" t="s">
        <v>589</v>
      </c>
      <c r="E98" s="270" t="s">
        <v>590</v>
      </c>
      <c r="F98" s="270" t="s">
        <v>589</v>
      </c>
      <c r="G98" s="270" t="s">
        <v>591</v>
      </c>
      <c r="H98" s="270" t="s">
        <v>589</v>
      </c>
      <c r="I98" s="270"/>
      <c r="J98" s="271"/>
      <c r="K98" s="271"/>
      <c r="L98" s="271"/>
      <c r="M98" s="270" t="s">
        <v>589</v>
      </c>
      <c r="N98" s="270" t="s">
        <v>592</v>
      </c>
      <c r="O98" s="270" t="s">
        <v>589</v>
      </c>
    </row>
    <row r="99" spans="1:15">
      <c r="A99" s="259" t="s">
        <v>599</v>
      </c>
      <c r="B99" s="259">
        <f>B88+B78</f>
        <v>11289</v>
      </c>
      <c r="C99" s="259">
        <f>C88+C78</f>
        <v>0</v>
      </c>
      <c r="D99" s="266">
        <f>B99*C99/100</f>
        <v>0</v>
      </c>
      <c r="E99" s="259">
        <f>E88+E78</f>
        <v>0</v>
      </c>
      <c r="F99" s="266">
        <f>B99*E99/100</f>
        <v>0</v>
      </c>
      <c r="G99" s="259">
        <f>G88+G78</f>
        <v>0</v>
      </c>
      <c r="H99" s="259"/>
      <c r="I99" s="260"/>
      <c r="J99" s="260"/>
      <c r="K99" s="260"/>
      <c r="L99" s="260"/>
      <c r="M99" s="266">
        <f>B99*G99/100</f>
        <v>0</v>
      </c>
      <c r="N99" s="259">
        <f>N88+N78</f>
        <v>0</v>
      </c>
      <c r="O99" s="266">
        <f>B99*N99/100</f>
        <v>0</v>
      </c>
    </row>
    <row r="100" spans="1:15">
      <c r="A100" s="259" t="s">
        <v>18</v>
      </c>
      <c r="B100" s="266">
        <v>1</v>
      </c>
      <c r="C100" s="266">
        <f>C89+C79</f>
        <v>0</v>
      </c>
      <c r="D100" s="266">
        <f>B100*C100/100</f>
        <v>0</v>
      </c>
      <c r="E100" s="266">
        <f>E89+E79</f>
        <v>0</v>
      </c>
      <c r="F100" s="266">
        <f>B100*E100/100</f>
        <v>0</v>
      </c>
      <c r="G100" s="266">
        <f>G89+G79</f>
        <v>0</v>
      </c>
      <c r="H100" s="259"/>
      <c r="I100" s="260"/>
      <c r="J100" s="260"/>
      <c r="K100" s="260"/>
      <c r="L100" s="260"/>
      <c r="M100" s="266">
        <f>B100*G100/100</f>
        <v>0</v>
      </c>
      <c r="N100" s="266">
        <f>N89+N79</f>
        <v>0</v>
      </c>
      <c r="O100" s="266">
        <f>B100*N100/100</f>
        <v>0</v>
      </c>
    </row>
    <row r="101" spans="1:15" ht="15" customHeight="1">
      <c r="I101" s="1"/>
      <c r="J101" s="1"/>
      <c r="K101" s="1"/>
      <c r="L101" s="1"/>
    </row>
    <row r="102" spans="1:15" ht="15">
      <c r="A102" s="988" t="s">
        <v>606</v>
      </c>
      <c r="B102" s="988"/>
      <c r="C102" s="988"/>
      <c r="D102" s="988"/>
      <c r="E102" s="988"/>
      <c r="F102" s="988"/>
      <c r="G102" s="988"/>
      <c r="H102" s="988"/>
      <c r="I102" s="988"/>
      <c r="J102" s="988"/>
      <c r="K102" s="988"/>
      <c r="L102" s="988"/>
      <c r="M102" s="988"/>
      <c r="N102" s="988"/>
    </row>
    <row r="103" spans="1:15" ht="45">
      <c r="A103" s="267" t="s">
        <v>593</v>
      </c>
      <c r="B103" s="267" t="s">
        <v>594</v>
      </c>
      <c r="C103" s="267" t="s">
        <v>589</v>
      </c>
      <c r="D103" s="267" t="s">
        <v>595</v>
      </c>
      <c r="E103" s="267" t="s">
        <v>589</v>
      </c>
      <c r="F103" s="267" t="s">
        <v>596</v>
      </c>
      <c r="G103" s="267" t="s">
        <v>589</v>
      </c>
      <c r="H103" s="267"/>
      <c r="I103" s="268"/>
      <c r="J103" s="268"/>
      <c r="K103" s="268"/>
      <c r="L103" s="268"/>
      <c r="M103" s="267" t="s">
        <v>597</v>
      </c>
      <c r="N103" s="267" t="s">
        <v>589</v>
      </c>
    </row>
    <row r="104" spans="1:15" ht="15">
      <c r="A104" s="272">
        <f>A93+A83</f>
        <v>57111634345</v>
      </c>
      <c r="B104" s="263">
        <f>B93+B83</f>
        <v>17905329215</v>
      </c>
      <c r="C104" s="264">
        <f>A104*B104/100</f>
        <v>1.0226026149539258E+19</v>
      </c>
      <c r="D104" s="263">
        <f>D93+D83</f>
        <v>8782218462</v>
      </c>
      <c r="E104" s="266">
        <f>A104*D104</f>
        <v>5.0156684953965226E+20</v>
      </c>
      <c r="F104" s="263">
        <f>F93+F83</f>
        <v>0</v>
      </c>
      <c r="G104" s="266">
        <f>A104*F104/100</f>
        <v>0</v>
      </c>
      <c r="H104" s="259"/>
      <c r="I104" s="260"/>
      <c r="J104" s="260"/>
      <c r="K104" s="260"/>
      <c r="L104" s="260"/>
      <c r="M104" s="275">
        <f>M93+M83</f>
        <v>0</v>
      </c>
      <c r="N104" s="266">
        <f>A104*M104/100</f>
        <v>0</v>
      </c>
    </row>
    <row r="105" spans="1:15">
      <c r="A105" s="259"/>
      <c r="B105" s="259"/>
      <c r="C105" s="259"/>
      <c r="D105" s="259"/>
      <c r="E105" s="259"/>
      <c r="F105" s="259"/>
      <c r="G105" s="259"/>
      <c r="H105" s="259"/>
      <c r="I105" s="260"/>
      <c r="J105" s="260"/>
      <c r="K105" s="260"/>
      <c r="L105" s="260"/>
      <c r="M105" s="261"/>
      <c r="N105" s="259"/>
    </row>
  </sheetData>
  <mergeCells count="123">
    <mergeCell ref="AH32:AH51"/>
    <mergeCell ref="X52:X55"/>
    <mergeCell ref="W61:W62"/>
    <mergeCell ref="S6:S7"/>
    <mergeCell ref="T6:X6"/>
    <mergeCell ref="Y6:AE6"/>
    <mergeCell ref="AQ6:AQ7"/>
    <mergeCell ref="W52:W55"/>
    <mergeCell ref="AH9:AH11"/>
    <mergeCell ref="V12:V31"/>
    <mergeCell ref="V32:V51"/>
    <mergeCell ref="W12:W31"/>
    <mergeCell ref="X12:X31"/>
    <mergeCell ref="W32:W51"/>
    <mergeCell ref="X32:X51"/>
    <mergeCell ref="AH52:AH55"/>
    <mergeCell ref="AC12:AC31"/>
    <mergeCell ref="AD12:AD31"/>
    <mergeCell ref="AE12:AE31"/>
    <mergeCell ref="AF12:AF31"/>
    <mergeCell ref="AG12:AG31"/>
    <mergeCell ref="AH12:AH31"/>
    <mergeCell ref="AC32:AC51"/>
    <mergeCell ref="AD32:AD51"/>
    <mergeCell ref="AE32:AE51"/>
    <mergeCell ref="AF32:AF51"/>
    <mergeCell ref="AG32:AG51"/>
    <mergeCell ref="D27:D48"/>
    <mergeCell ref="E27:E48"/>
    <mergeCell ref="G43:G45"/>
    <mergeCell ref="G46:G48"/>
    <mergeCell ref="D49:D51"/>
    <mergeCell ref="E49:E51"/>
    <mergeCell ref="A1:AR1"/>
    <mergeCell ref="AT1:AX1"/>
    <mergeCell ref="A2:AR2"/>
    <mergeCell ref="A5:AR5"/>
    <mergeCell ref="A6:B6"/>
    <mergeCell ref="C6:E6"/>
    <mergeCell ref="G6:J6"/>
    <mergeCell ref="K6:K7"/>
    <mergeCell ref="L6:L7"/>
    <mergeCell ref="M6:M7"/>
    <mergeCell ref="N6:N7"/>
    <mergeCell ref="O6:O7"/>
    <mergeCell ref="P6:P7"/>
    <mergeCell ref="B3:AR3"/>
    <mergeCell ref="A4:AR4"/>
    <mergeCell ref="AR6:AR7"/>
    <mergeCell ref="Q6:Q7"/>
    <mergeCell ref="R6:R7"/>
    <mergeCell ref="X9:X11"/>
    <mergeCell ref="G37:G39"/>
    <mergeCell ref="G8:G11"/>
    <mergeCell ref="AS67:AS71"/>
    <mergeCell ref="G68:G70"/>
    <mergeCell ref="G52:G55"/>
    <mergeCell ref="V52:V55"/>
    <mergeCell ref="V61:V62"/>
    <mergeCell ref="X61:X62"/>
    <mergeCell ref="AH61:AH62"/>
    <mergeCell ref="AG61:AG62"/>
    <mergeCell ref="AF61:AF62"/>
    <mergeCell ref="AE61:AE62"/>
    <mergeCell ref="AD61:AD62"/>
    <mergeCell ref="AS9:AS63"/>
    <mergeCell ref="G28:G30"/>
    <mergeCell ref="G31:G33"/>
    <mergeCell ref="G49:G50"/>
    <mergeCell ref="G12:G14"/>
    <mergeCell ref="T12:T14"/>
    <mergeCell ref="G15:G18"/>
    <mergeCell ref="T15:T18"/>
    <mergeCell ref="G19:G22"/>
    <mergeCell ref="G23:G25"/>
    <mergeCell ref="E67:E68"/>
    <mergeCell ref="C52:C60"/>
    <mergeCell ref="D52:D60"/>
    <mergeCell ref="E52:E60"/>
    <mergeCell ref="F52:F60"/>
    <mergeCell ref="A61:M62"/>
    <mergeCell ref="U9:U11"/>
    <mergeCell ref="V9:V11"/>
    <mergeCell ref="G40:G42"/>
    <mergeCell ref="C49:C51"/>
    <mergeCell ref="A8:A60"/>
    <mergeCell ref="B8:B60"/>
    <mergeCell ref="C8:C19"/>
    <mergeCell ref="D8:D19"/>
    <mergeCell ref="E8:E19"/>
    <mergeCell ref="F8:F19"/>
    <mergeCell ref="G34:G36"/>
    <mergeCell ref="L9:L19"/>
    <mergeCell ref="T9:T11"/>
    <mergeCell ref="F24:F51"/>
    <mergeCell ref="K24:K51"/>
    <mergeCell ref="L24:L51"/>
    <mergeCell ref="G26:G27"/>
    <mergeCell ref="C27:C48"/>
    <mergeCell ref="A97:O97"/>
    <mergeCell ref="A102:N102"/>
    <mergeCell ref="AF72:AF73"/>
    <mergeCell ref="AG72:AG73"/>
    <mergeCell ref="AH72:AH73"/>
    <mergeCell ref="AI72:AI73"/>
    <mergeCell ref="AJ72:AJ73"/>
    <mergeCell ref="A76:O76"/>
    <mergeCell ref="AC61:AC62"/>
    <mergeCell ref="V72:V73"/>
    <mergeCell ref="X72:X73"/>
    <mergeCell ref="AC72:AC73"/>
    <mergeCell ref="AD72:AD73"/>
    <mergeCell ref="AE72:AE73"/>
    <mergeCell ref="A72:M73"/>
    <mergeCell ref="A81:N81"/>
    <mergeCell ref="A86:O86"/>
    <mergeCell ref="A91:N91"/>
    <mergeCell ref="A63:A71"/>
    <mergeCell ref="B63:B71"/>
    <mergeCell ref="G63:G65"/>
    <mergeCell ref="G66:G67"/>
    <mergeCell ref="C67:C68"/>
    <mergeCell ref="D67:D68"/>
  </mergeCell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E152F-44D4-4F5D-AC95-6299184CB932}">
  <dimension ref="A1:AU93"/>
  <sheetViews>
    <sheetView topLeftCell="J19" zoomScale="60" zoomScaleNormal="60" workbookViewId="0">
      <selection activeCell="AA26" sqref="AA26:AA31"/>
    </sheetView>
  </sheetViews>
  <sheetFormatPr baseColWidth="10" defaultColWidth="11.42578125" defaultRowHeight="14.25"/>
  <cols>
    <col min="1" max="1" width="31.42578125" style="3" customWidth="1"/>
    <col min="2" max="2" width="28.42578125" style="3" customWidth="1"/>
    <col min="3" max="3" width="24" style="3" customWidth="1"/>
    <col min="4" max="4" width="30.42578125" style="3" customWidth="1"/>
    <col min="5" max="5" width="24.42578125" style="3" customWidth="1"/>
    <col min="6" max="6" width="18.42578125" style="3" customWidth="1"/>
    <col min="7" max="7" width="20.28515625" style="3" customWidth="1"/>
    <col min="8" max="8" width="36.28515625" style="3" customWidth="1"/>
    <col min="9" max="9" width="15" style="3" hidden="1" customWidth="1"/>
    <col min="10" max="10" width="38.140625" style="5" customWidth="1"/>
    <col min="11" max="12" width="15" style="3" customWidth="1"/>
    <col min="13" max="13" width="16.28515625" style="3" customWidth="1"/>
    <col min="14" max="14" width="16.7109375" style="3" customWidth="1"/>
    <col min="15" max="15" width="16.85546875" style="3" customWidth="1"/>
    <col min="16" max="16" width="18" style="3" customWidth="1"/>
    <col min="17" max="17" width="20.140625" style="3" customWidth="1"/>
    <col min="18" max="18" width="21.42578125" style="3" customWidth="1"/>
    <col min="19" max="20" width="27.7109375" style="7" customWidth="1"/>
    <col min="21" max="21" width="25.42578125" style="7" bestFit="1" customWidth="1"/>
    <col min="22" max="31" width="25.42578125" style="7" customWidth="1"/>
    <col min="32" max="34" width="34.28515625" style="7" customWidth="1"/>
    <col min="35" max="39" width="43.85546875" style="7" customWidth="1"/>
    <col min="40" max="40" width="20" style="3" customWidth="1"/>
    <col min="41" max="41" width="20.140625" style="3" customWidth="1"/>
    <col min="42" max="42" width="30.28515625" style="2" hidden="1" customWidth="1"/>
    <col min="43" max="44" width="17.42578125" style="2" customWidth="1"/>
    <col min="45" max="45" width="21.140625" style="2" customWidth="1"/>
    <col min="46" max="46" width="16.7109375" style="2" customWidth="1"/>
    <col min="47" max="47" width="20.140625" style="2" customWidth="1"/>
    <col min="48" max="16384" width="11.42578125" style="2"/>
  </cols>
  <sheetData>
    <row r="1" spans="1:47" s="1" customFormat="1" ht="30.75" customHeight="1" thickTop="1" thickBot="1">
      <c r="A1" s="846"/>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22"/>
      <c r="AQ1" s="823" t="s">
        <v>34</v>
      </c>
      <c r="AR1" s="823"/>
      <c r="AS1" s="823"/>
      <c r="AT1" s="823"/>
      <c r="AU1" s="824"/>
    </row>
    <row r="2" spans="1:47" s="1" customFormat="1" ht="27.95" customHeight="1" thickTop="1" thickBot="1">
      <c r="A2" s="856"/>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22"/>
      <c r="AQ2" s="253" t="s">
        <v>35</v>
      </c>
      <c r="AR2" s="20" t="s">
        <v>36</v>
      </c>
      <c r="AS2" s="16" t="s">
        <v>37</v>
      </c>
      <c r="AT2" s="16" t="s">
        <v>38</v>
      </c>
      <c r="AU2" s="16" t="s">
        <v>29</v>
      </c>
    </row>
    <row r="3" spans="1:47" s="1" customFormat="1" ht="25.5" customHeight="1" thickTop="1" thickBot="1">
      <c r="A3" s="256"/>
      <c r="B3" s="1041" t="s">
        <v>610</v>
      </c>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c r="AJ3" s="1042"/>
      <c r="AK3" s="1042"/>
      <c r="AL3" s="1042"/>
      <c r="AM3" s="1042"/>
      <c r="AN3" s="1042"/>
      <c r="AO3" s="1043"/>
      <c r="AP3" s="23"/>
      <c r="AQ3" s="28"/>
      <c r="AR3" s="21"/>
      <c r="AS3" s="17"/>
      <c r="AT3" s="18"/>
      <c r="AU3" s="19"/>
    </row>
    <row r="4" spans="1:47" s="1" customFormat="1" ht="27.95" customHeight="1" thickTop="1" thickBot="1">
      <c r="A4" s="1071" t="s">
        <v>611</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3"/>
      <c r="AP4" s="23"/>
      <c r="AQ4" s="28"/>
      <c r="AR4" s="21"/>
      <c r="AS4" s="17"/>
      <c r="AT4" s="18"/>
      <c r="AU4" s="19"/>
    </row>
    <row r="5" spans="1:47" s="1" customFormat="1" ht="27.95" customHeight="1" thickTop="1" thickBot="1">
      <c r="A5" s="825"/>
      <c r="B5" s="825"/>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163"/>
      <c r="AQ5" s="28"/>
      <c r="AR5" s="21"/>
      <c r="AS5" s="17"/>
      <c r="AT5" s="18"/>
      <c r="AU5" s="19"/>
    </row>
    <row r="6" spans="1:47" ht="27.95" customHeight="1" thickBot="1">
      <c r="A6" s="830"/>
      <c r="B6" s="831"/>
      <c r="C6" s="832" t="s">
        <v>45</v>
      </c>
      <c r="D6" s="830"/>
      <c r="E6" s="830"/>
      <c r="F6" s="831"/>
      <c r="G6" s="29"/>
      <c r="H6" s="875" t="s">
        <v>311</v>
      </c>
      <c r="I6" s="875"/>
      <c r="J6" s="1039" t="s">
        <v>1</v>
      </c>
      <c r="K6" s="879" t="s">
        <v>48</v>
      </c>
      <c r="L6" s="879" t="s">
        <v>2</v>
      </c>
      <c r="M6" s="879" t="s">
        <v>3</v>
      </c>
      <c r="N6" s="879" t="s">
        <v>4</v>
      </c>
      <c r="O6" s="879" t="s">
        <v>5</v>
      </c>
      <c r="P6" s="879" t="s">
        <v>6</v>
      </c>
      <c r="Q6" s="878" t="s">
        <v>7</v>
      </c>
      <c r="R6" s="878"/>
      <c r="S6" s="878"/>
      <c r="T6" s="878"/>
      <c r="U6" s="878"/>
      <c r="V6" s="843" t="s">
        <v>564</v>
      </c>
      <c r="W6" s="844"/>
      <c r="X6" s="844"/>
      <c r="Y6" s="844"/>
      <c r="Z6" s="844"/>
      <c r="AA6" s="844"/>
      <c r="AB6" s="845"/>
      <c r="AC6" s="248"/>
      <c r="AD6" s="248"/>
      <c r="AE6" s="248"/>
      <c r="AF6" s="248"/>
      <c r="AG6" s="248"/>
      <c r="AH6" s="248"/>
      <c r="AI6" s="248"/>
      <c r="AJ6" s="248"/>
      <c r="AK6" s="248"/>
      <c r="AL6" s="248"/>
      <c r="AM6" s="248"/>
      <c r="AN6" s="879" t="s">
        <v>8</v>
      </c>
      <c r="AO6" s="871" t="s">
        <v>9</v>
      </c>
      <c r="AP6" s="164"/>
      <c r="AQ6" s="20" t="s">
        <v>39</v>
      </c>
      <c r="AR6" s="15" t="s">
        <v>30</v>
      </c>
      <c r="AS6" s="16" t="s">
        <v>31</v>
      </c>
      <c r="AT6" s="16" t="s">
        <v>32</v>
      </c>
      <c r="AU6" s="16" t="s">
        <v>33</v>
      </c>
    </row>
    <row r="7" spans="1:47" ht="68.25" customHeight="1" thickTop="1">
      <c r="A7" s="24" t="s">
        <v>42</v>
      </c>
      <c r="B7" s="24" t="s">
        <v>43</v>
      </c>
      <c r="C7" s="24" t="s">
        <v>11</v>
      </c>
      <c r="D7" s="24" t="s">
        <v>52</v>
      </c>
      <c r="E7" s="24" t="s">
        <v>12</v>
      </c>
      <c r="F7" s="24" t="s">
        <v>47</v>
      </c>
      <c r="G7" s="24" t="s">
        <v>41</v>
      </c>
      <c r="H7" s="30" t="s">
        <v>46</v>
      </c>
      <c r="I7" s="24" t="s">
        <v>52</v>
      </c>
      <c r="J7" s="1040"/>
      <c r="K7" s="880"/>
      <c r="L7" s="880"/>
      <c r="M7" s="880"/>
      <c r="N7" s="880"/>
      <c r="O7" s="880"/>
      <c r="P7" s="880"/>
      <c r="Q7" s="24" t="s">
        <v>13</v>
      </c>
      <c r="R7" s="24" t="s">
        <v>14</v>
      </c>
      <c r="S7" s="4" t="s">
        <v>15</v>
      </c>
      <c r="T7" s="4"/>
      <c r="U7" s="4" t="s">
        <v>16</v>
      </c>
      <c r="V7" s="4" t="s">
        <v>565</v>
      </c>
      <c r="W7" s="4" t="s">
        <v>566</v>
      </c>
      <c r="X7" s="4" t="s">
        <v>567</v>
      </c>
      <c r="Y7" s="4" t="s">
        <v>568</v>
      </c>
      <c r="Z7" s="4" t="s">
        <v>569</v>
      </c>
      <c r="AA7" s="4" t="s">
        <v>570</v>
      </c>
      <c r="AB7" s="4" t="s">
        <v>571</v>
      </c>
      <c r="AC7" s="252" t="s">
        <v>572</v>
      </c>
      <c r="AD7" s="252" t="s">
        <v>573</v>
      </c>
      <c r="AE7" s="252" t="s">
        <v>574</v>
      </c>
      <c r="AF7" s="252" t="s">
        <v>575</v>
      </c>
      <c r="AG7" s="252" t="s">
        <v>576</v>
      </c>
      <c r="AH7" s="252" t="s">
        <v>577</v>
      </c>
      <c r="AI7" s="252" t="s">
        <v>578</v>
      </c>
      <c r="AJ7" s="252" t="s">
        <v>579</v>
      </c>
      <c r="AK7" s="252" t="s">
        <v>580</v>
      </c>
      <c r="AL7" s="252" t="s">
        <v>581</v>
      </c>
      <c r="AM7" s="252" t="s">
        <v>582</v>
      </c>
      <c r="AN7" s="880"/>
      <c r="AO7" s="872" t="s">
        <v>9</v>
      </c>
      <c r="AP7" s="164"/>
    </row>
    <row r="8" spans="1:47" s="1" customFormat="1" ht="72" customHeight="1">
      <c r="A8" s="743" t="s">
        <v>192</v>
      </c>
      <c r="B8" s="743" t="s">
        <v>180</v>
      </c>
      <c r="C8" s="743" t="s">
        <v>178</v>
      </c>
      <c r="D8" s="743" t="s">
        <v>17</v>
      </c>
      <c r="E8" s="743" t="s">
        <v>51</v>
      </c>
      <c r="F8" s="743">
        <v>1</v>
      </c>
      <c r="G8" s="743" t="s">
        <v>181</v>
      </c>
      <c r="H8" s="743" t="s">
        <v>182</v>
      </c>
      <c r="I8" s="95" t="s">
        <v>17</v>
      </c>
      <c r="J8" s="90" t="s">
        <v>461</v>
      </c>
      <c r="K8" s="95">
        <v>1</v>
      </c>
      <c r="L8" s="95" t="s">
        <v>452</v>
      </c>
      <c r="M8" s="95">
        <v>1</v>
      </c>
      <c r="N8" s="95">
        <v>0</v>
      </c>
      <c r="O8" s="95">
        <v>0</v>
      </c>
      <c r="P8" s="95">
        <v>0</v>
      </c>
      <c r="Q8" s="95"/>
      <c r="R8" s="91"/>
      <c r="S8" s="218">
        <v>0</v>
      </c>
      <c r="T8" s="218"/>
      <c r="U8" s="218">
        <v>0</v>
      </c>
      <c r="V8" s="228"/>
      <c r="W8" s="228"/>
      <c r="X8" s="228"/>
      <c r="Y8" s="228"/>
      <c r="Z8" s="228"/>
      <c r="AA8" s="228"/>
      <c r="AB8" s="228"/>
      <c r="AC8" s="228"/>
      <c r="AD8" s="228"/>
      <c r="AE8" s="228"/>
      <c r="AF8" s="228"/>
      <c r="AG8" s="228"/>
      <c r="AH8" s="228"/>
      <c r="AI8" s="228"/>
      <c r="AJ8" s="228"/>
      <c r="AK8" s="228"/>
      <c r="AL8" s="228"/>
      <c r="AM8" s="228"/>
      <c r="AN8" s="97" t="s">
        <v>462</v>
      </c>
      <c r="AO8" s="97" t="s">
        <v>462</v>
      </c>
      <c r="AP8" s="165"/>
    </row>
    <row r="9" spans="1:47" s="1" customFormat="1" ht="72" customHeight="1">
      <c r="A9" s="743"/>
      <c r="B9" s="743"/>
      <c r="C9" s="743"/>
      <c r="D9" s="743"/>
      <c r="E9" s="743"/>
      <c r="F9" s="743"/>
      <c r="G9" s="743"/>
      <c r="H9" s="743"/>
      <c r="I9" s="95"/>
      <c r="J9" s="90" t="s">
        <v>465</v>
      </c>
      <c r="K9" s="95">
        <v>50</v>
      </c>
      <c r="L9" s="95" t="s">
        <v>358</v>
      </c>
      <c r="M9" s="95">
        <v>5</v>
      </c>
      <c r="N9" s="95">
        <v>5</v>
      </c>
      <c r="O9" s="95">
        <v>20</v>
      </c>
      <c r="P9" s="95">
        <v>20</v>
      </c>
      <c r="Q9" s="1074" t="s">
        <v>384</v>
      </c>
      <c r="R9" s="1075"/>
      <c r="S9" s="1076">
        <v>90341227.37184</v>
      </c>
      <c r="T9" s="217"/>
      <c r="U9" s="1077">
        <v>90341227.37184</v>
      </c>
      <c r="V9" s="1077">
        <v>14156648</v>
      </c>
      <c r="W9" s="1077"/>
      <c r="X9" s="228"/>
      <c r="Y9" s="228"/>
      <c r="Z9" s="228">
        <v>9739412</v>
      </c>
      <c r="AA9" s="1077">
        <v>7796610</v>
      </c>
      <c r="AB9" s="228"/>
      <c r="AC9" s="228"/>
      <c r="AD9" s="228"/>
      <c r="AE9" s="228"/>
      <c r="AF9" s="228"/>
      <c r="AG9" s="228"/>
      <c r="AH9" s="228"/>
      <c r="AI9" s="228"/>
      <c r="AJ9" s="228"/>
      <c r="AK9" s="228"/>
      <c r="AL9" s="228"/>
      <c r="AM9" s="228"/>
      <c r="AN9" s="97"/>
      <c r="AO9" s="97"/>
      <c r="AP9" s="190"/>
    </row>
    <row r="10" spans="1:47" s="1" customFormat="1" ht="72" customHeight="1">
      <c r="A10" s="745"/>
      <c r="B10" s="745"/>
      <c r="C10" s="745"/>
      <c r="D10" s="745"/>
      <c r="E10" s="745"/>
      <c r="F10" s="745"/>
      <c r="G10" s="745"/>
      <c r="H10" s="745"/>
      <c r="I10" s="95"/>
      <c r="J10" s="90" t="s">
        <v>464</v>
      </c>
      <c r="K10" s="95">
        <v>30</v>
      </c>
      <c r="L10" s="95" t="s">
        <v>18</v>
      </c>
      <c r="M10" s="95">
        <v>0</v>
      </c>
      <c r="N10" s="95">
        <v>5</v>
      </c>
      <c r="O10" s="95">
        <v>5</v>
      </c>
      <c r="P10" s="95">
        <v>5</v>
      </c>
      <c r="Q10" s="1074"/>
      <c r="R10" s="1075"/>
      <c r="S10" s="1076"/>
      <c r="T10" s="218"/>
      <c r="U10" s="1078"/>
      <c r="V10" s="1078"/>
      <c r="W10" s="1078"/>
      <c r="X10" s="228"/>
      <c r="Y10" s="228"/>
      <c r="Z10" s="228">
        <v>9739412</v>
      </c>
      <c r="AA10" s="1078"/>
      <c r="AB10" s="228"/>
      <c r="AC10" s="228"/>
      <c r="AD10" s="228"/>
      <c r="AE10" s="228"/>
      <c r="AF10" s="228"/>
      <c r="AG10" s="228"/>
      <c r="AH10" s="228"/>
      <c r="AI10" s="228"/>
      <c r="AJ10" s="228"/>
      <c r="AK10" s="228"/>
      <c r="AL10" s="228"/>
      <c r="AM10" s="228"/>
      <c r="AN10" s="97"/>
      <c r="AO10" s="97"/>
      <c r="AP10" s="190"/>
    </row>
    <row r="11" spans="1:47" s="1" customFormat="1" ht="39.75" customHeight="1">
      <c r="A11" s="1027" t="s">
        <v>607</v>
      </c>
      <c r="B11" s="1028"/>
      <c r="C11" s="1028"/>
      <c r="D11" s="1028"/>
      <c r="E11" s="1028"/>
      <c r="F11" s="1028"/>
      <c r="G11" s="1028"/>
      <c r="H11" s="1029"/>
      <c r="I11" s="95"/>
      <c r="J11" s="294"/>
      <c r="K11" s="283">
        <f>K8</f>
        <v>1</v>
      </c>
      <c r="L11" s="283" t="s">
        <v>452</v>
      </c>
      <c r="M11" s="283">
        <f>M8</f>
        <v>1</v>
      </c>
      <c r="N11" s="283">
        <f t="shared" ref="N11:P11" si="0">N8</f>
        <v>0</v>
      </c>
      <c r="O11" s="283">
        <f t="shared" si="0"/>
        <v>0</v>
      </c>
      <c r="P11" s="283">
        <f t="shared" si="0"/>
        <v>0</v>
      </c>
      <c r="Q11" s="283"/>
      <c r="R11" s="241"/>
      <c r="S11" s="1068">
        <f>S9+S8</f>
        <v>90341227.37184</v>
      </c>
      <c r="T11" s="373"/>
      <c r="U11" s="1068">
        <f>U9+U8</f>
        <v>90341227.37184</v>
      </c>
      <c r="V11" s="283">
        <f>V8</f>
        <v>0</v>
      </c>
      <c r="W11" s="283">
        <f t="shared" ref="W11:Y11" si="1">W8</f>
        <v>0</v>
      </c>
      <c r="X11" s="283">
        <f t="shared" si="1"/>
        <v>0</v>
      </c>
      <c r="Y11" s="283">
        <f t="shared" si="1"/>
        <v>0</v>
      </c>
      <c r="Z11" s="1068">
        <f>Z10+Z9+Z8</f>
        <v>19478824</v>
      </c>
      <c r="AA11" s="1068">
        <f t="shared" ref="AA11:AE11" si="2">AA10+AA9+AA8</f>
        <v>7796610</v>
      </c>
      <c r="AB11" s="1068">
        <f t="shared" si="2"/>
        <v>0</v>
      </c>
      <c r="AC11" s="1068">
        <f t="shared" si="2"/>
        <v>0</v>
      </c>
      <c r="AD11" s="1068">
        <f t="shared" si="2"/>
        <v>0</v>
      </c>
      <c r="AE11" s="1068">
        <f t="shared" si="2"/>
        <v>0</v>
      </c>
      <c r="AF11" s="244"/>
      <c r="AG11" s="244"/>
      <c r="AH11" s="244"/>
      <c r="AI11" s="244"/>
      <c r="AJ11" s="244"/>
      <c r="AK11" s="244"/>
      <c r="AL11" s="244"/>
      <c r="AM11" s="244"/>
      <c r="AN11" s="239"/>
      <c r="AO11" s="239"/>
      <c r="AP11" s="190"/>
    </row>
    <row r="12" spans="1:47" s="1" customFormat="1" ht="39.75" customHeight="1">
      <c r="A12" s="1030"/>
      <c r="B12" s="1031"/>
      <c r="C12" s="1031"/>
      <c r="D12" s="1031"/>
      <c r="E12" s="1031"/>
      <c r="F12" s="1031"/>
      <c r="G12" s="1031"/>
      <c r="H12" s="1032"/>
      <c r="I12" s="95"/>
      <c r="J12" s="294"/>
      <c r="K12" s="283">
        <v>100</v>
      </c>
      <c r="L12" s="283" t="s">
        <v>18</v>
      </c>
      <c r="M12" s="283">
        <v>100</v>
      </c>
      <c r="N12" s="283">
        <v>100</v>
      </c>
      <c r="O12" s="283">
        <v>100</v>
      </c>
      <c r="P12" s="283">
        <v>100</v>
      </c>
      <c r="Q12" s="283"/>
      <c r="R12" s="241"/>
      <c r="S12" s="1069"/>
      <c r="T12" s="295"/>
      <c r="U12" s="1069"/>
      <c r="V12" s="313">
        <f>AVERAGE(V10+V9)</f>
        <v>14156648</v>
      </c>
      <c r="W12" s="313">
        <f t="shared" ref="W12:Y12" si="3">AVERAGE(W10+W9)</f>
        <v>0</v>
      </c>
      <c r="X12" s="313">
        <f t="shared" si="3"/>
        <v>0</v>
      </c>
      <c r="Y12" s="313">
        <f t="shared" si="3"/>
        <v>0</v>
      </c>
      <c r="Z12" s="1069"/>
      <c r="AA12" s="1069"/>
      <c r="AB12" s="1069"/>
      <c r="AC12" s="1069"/>
      <c r="AD12" s="1069"/>
      <c r="AE12" s="1069"/>
      <c r="AF12" s="244"/>
      <c r="AG12" s="244"/>
      <c r="AH12" s="244"/>
      <c r="AI12" s="244"/>
      <c r="AJ12" s="244"/>
      <c r="AK12" s="244"/>
      <c r="AL12" s="244"/>
      <c r="AM12" s="244"/>
      <c r="AN12" s="239"/>
      <c r="AO12" s="239"/>
      <c r="AP12" s="190"/>
    </row>
    <row r="13" spans="1:47" s="1" customFormat="1" ht="52.5" customHeight="1">
      <c r="A13" s="742" t="s">
        <v>193</v>
      </c>
      <c r="B13" s="742" t="s">
        <v>184</v>
      </c>
      <c r="C13" s="742" t="s">
        <v>185</v>
      </c>
      <c r="D13" s="742" t="s">
        <v>18</v>
      </c>
      <c r="E13" s="742" t="s">
        <v>51</v>
      </c>
      <c r="F13" s="742">
        <v>70</v>
      </c>
      <c r="G13" s="742" t="s">
        <v>186</v>
      </c>
      <c r="H13" s="92" t="s">
        <v>187</v>
      </c>
      <c r="I13" s="95" t="s">
        <v>17</v>
      </c>
      <c r="J13" s="94" t="s">
        <v>463</v>
      </c>
      <c r="K13" s="97">
        <v>1</v>
      </c>
      <c r="L13" s="97" t="s">
        <v>452</v>
      </c>
      <c r="M13" s="97">
        <v>0</v>
      </c>
      <c r="N13" s="97">
        <v>0</v>
      </c>
      <c r="O13" s="97">
        <v>0</v>
      </c>
      <c r="P13" s="97">
        <v>1</v>
      </c>
      <c r="Q13" s="88"/>
      <c r="R13" s="198"/>
      <c r="S13" s="215"/>
      <c r="T13" s="215"/>
      <c r="U13" s="228">
        <f>S13</f>
        <v>0</v>
      </c>
      <c r="V13" s="228"/>
      <c r="W13" s="228"/>
      <c r="X13" s="228"/>
      <c r="Y13" s="228"/>
      <c r="Z13" s="228"/>
      <c r="AA13" s="228"/>
      <c r="AB13" s="228"/>
      <c r="AC13" s="228"/>
      <c r="AD13" s="228"/>
      <c r="AE13" s="228"/>
      <c r="AF13" s="228"/>
      <c r="AG13" s="228"/>
      <c r="AH13" s="228"/>
      <c r="AI13" s="228"/>
      <c r="AJ13" s="228"/>
      <c r="AK13" s="228"/>
      <c r="AL13" s="228"/>
      <c r="AM13" s="228"/>
      <c r="AN13" s="97" t="s">
        <v>24</v>
      </c>
      <c r="AO13" s="97" t="s">
        <v>24</v>
      </c>
      <c r="AP13" s="809" t="s">
        <v>332</v>
      </c>
    </row>
    <row r="14" spans="1:47" s="1" customFormat="1" ht="42" customHeight="1">
      <c r="A14" s="743"/>
      <c r="B14" s="743"/>
      <c r="C14" s="743"/>
      <c r="D14" s="743"/>
      <c r="E14" s="743"/>
      <c r="F14" s="743"/>
      <c r="G14" s="743"/>
      <c r="H14" s="92" t="s">
        <v>188</v>
      </c>
      <c r="I14" s="92" t="s">
        <v>18</v>
      </c>
      <c r="J14" s="94" t="s">
        <v>466</v>
      </c>
      <c r="K14" s="97">
        <v>1</v>
      </c>
      <c r="L14" s="97" t="s">
        <v>17</v>
      </c>
      <c r="M14" s="97">
        <v>0</v>
      </c>
      <c r="N14" s="97">
        <v>0</v>
      </c>
      <c r="O14" s="97">
        <v>1</v>
      </c>
      <c r="P14" s="97">
        <v>0</v>
      </c>
      <c r="Q14" s="97" t="s">
        <v>384</v>
      </c>
      <c r="R14" s="227"/>
      <c r="S14" s="228">
        <v>90341227.37184</v>
      </c>
      <c r="T14" s="228"/>
      <c r="U14" s="228">
        <f t="shared" ref="U14:U22" si="4">S14</f>
        <v>90341227.37184</v>
      </c>
      <c r="V14" s="228">
        <v>14165648</v>
      </c>
      <c r="W14" s="228"/>
      <c r="X14" s="228"/>
      <c r="Y14" s="228"/>
      <c r="Z14" s="228">
        <v>9739412</v>
      </c>
      <c r="AA14" s="228">
        <v>7796611</v>
      </c>
      <c r="AB14" s="228"/>
      <c r="AC14" s="228"/>
      <c r="AD14" s="228"/>
      <c r="AE14" s="228"/>
      <c r="AF14" s="228"/>
      <c r="AG14" s="228"/>
      <c r="AH14" s="228"/>
      <c r="AI14" s="228"/>
      <c r="AJ14" s="228"/>
      <c r="AK14" s="228"/>
      <c r="AL14" s="228"/>
      <c r="AM14" s="228"/>
      <c r="AN14" s="97" t="s">
        <v>24</v>
      </c>
      <c r="AO14" s="97" t="s">
        <v>24</v>
      </c>
      <c r="AP14" s="810"/>
      <c r="AS14" s="1">
        <v>307118571.5</v>
      </c>
    </row>
    <row r="15" spans="1:47" s="1" customFormat="1" ht="58.5" customHeight="1">
      <c r="A15" s="745"/>
      <c r="B15" s="745"/>
      <c r="C15" s="745"/>
      <c r="D15" s="745"/>
      <c r="E15" s="745"/>
      <c r="F15" s="745"/>
      <c r="G15" s="745"/>
      <c r="H15" s="92" t="s">
        <v>189</v>
      </c>
      <c r="I15" s="92" t="s">
        <v>17</v>
      </c>
      <c r="J15" s="96" t="s">
        <v>467</v>
      </c>
      <c r="K15" s="97">
        <v>60</v>
      </c>
      <c r="L15" s="97" t="s">
        <v>18</v>
      </c>
      <c r="M15" s="97">
        <v>10</v>
      </c>
      <c r="N15" s="97">
        <v>10</v>
      </c>
      <c r="O15" s="97">
        <v>20</v>
      </c>
      <c r="P15" s="97">
        <v>20</v>
      </c>
      <c r="Q15" s="97" t="s">
        <v>384</v>
      </c>
      <c r="R15" s="227"/>
      <c r="S15" s="228">
        <v>90341227.37184</v>
      </c>
      <c r="T15" s="228"/>
      <c r="U15" s="228">
        <f t="shared" si="4"/>
        <v>90341227.37184</v>
      </c>
      <c r="V15" s="228">
        <v>14165649</v>
      </c>
      <c r="W15" s="228"/>
      <c r="X15" s="228"/>
      <c r="Y15" s="228"/>
      <c r="Z15" s="228">
        <v>9739412</v>
      </c>
      <c r="AA15" s="228">
        <v>7796612</v>
      </c>
      <c r="AB15" s="228"/>
      <c r="AC15" s="228"/>
      <c r="AD15" s="228"/>
      <c r="AE15" s="228"/>
      <c r="AF15" s="228"/>
      <c r="AG15" s="228"/>
      <c r="AH15" s="228"/>
      <c r="AI15" s="228"/>
      <c r="AJ15" s="228"/>
      <c r="AK15" s="228"/>
      <c r="AL15" s="228"/>
      <c r="AM15" s="228"/>
      <c r="AN15" s="97" t="s">
        <v>24</v>
      </c>
      <c r="AO15" s="97" t="s">
        <v>24</v>
      </c>
      <c r="AP15" s="811"/>
    </row>
    <row r="16" spans="1:47" s="1" customFormat="1" ht="36.75" customHeight="1">
      <c r="A16" s="1027" t="s">
        <v>607</v>
      </c>
      <c r="B16" s="1028"/>
      <c r="C16" s="1028"/>
      <c r="D16" s="1028"/>
      <c r="E16" s="1028"/>
      <c r="F16" s="1028"/>
      <c r="G16" s="1028"/>
      <c r="H16" s="1028"/>
      <c r="I16" s="1028"/>
      <c r="J16" s="1029"/>
      <c r="K16" s="239">
        <f>K14+K13</f>
        <v>2</v>
      </c>
      <c r="L16" s="239" t="s">
        <v>452</v>
      </c>
      <c r="M16" s="239">
        <f>M14+M13</f>
        <v>0</v>
      </c>
      <c r="N16" s="239">
        <f t="shared" ref="N16:P16" si="5">N14+N13</f>
        <v>0</v>
      </c>
      <c r="O16" s="239">
        <f t="shared" si="5"/>
        <v>1</v>
      </c>
      <c r="P16" s="239">
        <f t="shared" si="5"/>
        <v>1</v>
      </c>
      <c r="Q16" s="239"/>
      <c r="R16" s="243"/>
      <c r="S16" s="1068">
        <f>S15+S14+S13</f>
        <v>180682454.74368</v>
      </c>
      <c r="T16" s="373"/>
      <c r="U16" s="1068">
        <f>U15+U14+U13</f>
        <v>180682454.74368</v>
      </c>
      <c r="V16" s="239">
        <f>V14+V13</f>
        <v>14165648</v>
      </c>
      <c r="W16" s="239">
        <f t="shared" ref="W16:Y16" si="6">W14+W13</f>
        <v>0</v>
      </c>
      <c r="X16" s="239">
        <f t="shared" si="6"/>
        <v>0</v>
      </c>
      <c r="Y16" s="239">
        <f t="shared" si="6"/>
        <v>0</v>
      </c>
      <c r="Z16" s="1068">
        <f>Z15+Z14+Z13</f>
        <v>19478824</v>
      </c>
      <c r="AA16" s="1068">
        <f t="shared" ref="AA16:AE16" si="7">AA15+AA14+AA13</f>
        <v>15593223</v>
      </c>
      <c r="AB16" s="1068">
        <f t="shared" si="7"/>
        <v>0</v>
      </c>
      <c r="AC16" s="1068">
        <f t="shared" si="7"/>
        <v>0</v>
      </c>
      <c r="AD16" s="1068">
        <f t="shared" si="7"/>
        <v>0</v>
      </c>
      <c r="AE16" s="1068">
        <f t="shared" si="7"/>
        <v>0</v>
      </c>
      <c r="AF16" s="244"/>
      <c r="AG16" s="244"/>
      <c r="AH16" s="244"/>
      <c r="AI16" s="244"/>
      <c r="AJ16" s="244"/>
      <c r="AK16" s="244"/>
      <c r="AL16" s="244"/>
      <c r="AM16" s="244"/>
      <c r="AN16" s="239"/>
      <c r="AO16" s="239"/>
      <c r="AP16" s="167"/>
    </row>
    <row r="17" spans="1:42" s="1" customFormat="1" ht="28.5" customHeight="1">
      <c r="A17" s="1030"/>
      <c r="B17" s="1031"/>
      <c r="C17" s="1031"/>
      <c r="D17" s="1031"/>
      <c r="E17" s="1031"/>
      <c r="F17" s="1031"/>
      <c r="G17" s="1031"/>
      <c r="H17" s="1031"/>
      <c r="I17" s="1031"/>
      <c r="J17" s="1032"/>
      <c r="K17" s="239">
        <v>100</v>
      </c>
      <c r="L17" s="239" t="s">
        <v>18</v>
      </c>
      <c r="M17" s="239">
        <v>100</v>
      </c>
      <c r="N17" s="239">
        <v>100</v>
      </c>
      <c r="O17" s="239">
        <v>100</v>
      </c>
      <c r="P17" s="239">
        <v>100</v>
      </c>
      <c r="Q17" s="239"/>
      <c r="R17" s="243"/>
      <c r="S17" s="1069"/>
      <c r="T17" s="295"/>
      <c r="U17" s="1069"/>
      <c r="V17" s="313">
        <f>V15</f>
        <v>14165649</v>
      </c>
      <c r="W17" s="313">
        <f t="shared" ref="W17:Y17" si="8">W15</f>
        <v>0</v>
      </c>
      <c r="X17" s="313">
        <f t="shared" si="8"/>
        <v>0</v>
      </c>
      <c r="Y17" s="313">
        <f t="shared" si="8"/>
        <v>0</v>
      </c>
      <c r="Z17" s="1069"/>
      <c r="AA17" s="1069"/>
      <c r="AB17" s="1069"/>
      <c r="AC17" s="1069"/>
      <c r="AD17" s="1069"/>
      <c r="AE17" s="1069"/>
      <c r="AF17" s="244"/>
      <c r="AG17" s="244"/>
      <c r="AH17" s="244"/>
      <c r="AI17" s="244"/>
      <c r="AJ17" s="244"/>
      <c r="AK17" s="244"/>
      <c r="AL17" s="244"/>
      <c r="AM17" s="244"/>
      <c r="AN17" s="239"/>
      <c r="AO17" s="239"/>
      <c r="AP17" s="167"/>
    </row>
    <row r="18" spans="1:42" s="1" customFormat="1" ht="80.25" customHeight="1">
      <c r="A18" s="742" t="s">
        <v>194</v>
      </c>
      <c r="B18" s="742" t="s">
        <v>195</v>
      </c>
      <c r="C18" s="742" t="s">
        <v>196</v>
      </c>
      <c r="D18" s="742" t="s">
        <v>18</v>
      </c>
      <c r="E18" s="742">
        <v>90</v>
      </c>
      <c r="F18" s="742">
        <v>90</v>
      </c>
      <c r="G18" s="742" t="s">
        <v>199</v>
      </c>
      <c r="H18" s="92" t="s">
        <v>198</v>
      </c>
      <c r="I18" s="92" t="s">
        <v>17</v>
      </c>
      <c r="J18" s="96" t="s">
        <v>398</v>
      </c>
      <c r="K18" s="97">
        <v>1</v>
      </c>
      <c r="L18" s="97" t="s">
        <v>399</v>
      </c>
      <c r="M18" s="97">
        <v>0</v>
      </c>
      <c r="N18" s="97">
        <v>0</v>
      </c>
      <c r="O18" s="97">
        <v>0</v>
      </c>
      <c r="P18" s="97">
        <v>1</v>
      </c>
      <c r="Q18" s="97" t="s">
        <v>385</v>
      </c>
      <c r="R18" s="227"/>
      <c r="S18" s="228">
        <f>(3500000*1.05*12)+307118571.5</f>
        <v>351218571.5</v>
      </c>
      <c r="T18" s="228"/>
      <c r="U18" s="228">
        <f t="shared" si="4"/>
        <v>351218571.5</v>
      </c>
      <c r="V18" s="228">
        <v>14400000</v>
      </c>
      <c r="W18" s="228">
        <v>17500000</v>
      </c>
      <c r="X18" s="228"/>
      <c r="Y18" s="228"/>
      <c r="Z18" s="228">
        <v>28800000</v>
      </c>
      <c r="AA18" s="228">
        <v>17500000</v>
      </c>
      <c r="AB18" s="228"/>
      <c r="AC18" s="228"/>
      <c r="AD18" s="228"/>
      <c r="AE18" s="228"/>
      <c r="AF18" s="228"/>
      <c r="AG18" s="228"/>
      <c r="AH18" s="228"/>
      <c r="AI18" s="228"/>
      <c r="AJ18" s="228"/>
      <c r="AK18" s="228"/>
      <c r="AL18" s="228"/>
      <c r="AM18" s="228"/>
      <c r="AN18" s="97" t="s">
        <v>24</v>
      </c>
      <c r="AO18" s="97" t="s">
        <v>24</v>
      </c>
      <c r="AP18" s="809" t="s">
        <v>333</v>
      </c>
    </row>
    <row r="19" spans="1:42" s="1" customFormat="1" ht="80.25" customHeight="1">
      <c r="A19" s="743"/>
      <c r="B19" s="743"/>
      <c r="C19" s="745"/>
      <c r="D19" s="745"/>
      <c r="E19" s="745"/>
      <c r="F19" s="745"/>
      <c r="G19" s="743"/>
      <c r="H19" s="92" t="s">
        <v>200</v>
      </c>
      <c r="I19" s="92" t="s">
        <v>18</v>
      </c>
      <c r="J19" s="96" t="s">
        <v>400</v>
      </c>
      <c r="K19" s="97">
        <v>20</v>
      </c>
      <c r="L19" s="97" t="s">
        <v>358</v>
      </c>
      <c r="M19" s="97">
        <v>5</v>
      </c>
      <c r="N19" s="97">
        <v>10</v>
      </c>
      <c r="O19" s="97">
        <v>15</v>
      </c>
      <c r="P19" s="97">
        <v>20</v>
      </c>
      <c r="Q19" s="97" t="s">
        <v>381</v>
      </c>
      <c r="R19" s="227"/>
      <c r="S19" s="228">
        <v>1000000000</v>
      </c>
      <c r="T19" s="228"/>
      <c r="U19" s="228">
        <f t="shared" si="4"/>
        <v>1000000000</v>
      </c>
      <c r="V19" s="228">
        <v>189187445</v>
      </c>
      <c r="W19" s="228">
        <v>748163649</v>
      </c>
      <c r="X19" s="228"/>
      <c r="Y19" s="228"/>
      <c r="Z19" s="228">
        <v>602424049</v>
      </c>
      <c r="AA19" s="228">
        <v>748163649</v>
      </c>
      <c r="AB19" s="228"/>
      <c r="AC19" s="228"/>
      <c r="AD19" s="228"/>
      <c r="AE19" s="228"/>
      <c r="AF19" s="228"/>
      <c r="AG19" s="228"/>
      <c r="AH19" s="228"/>
      <c r="AI19" s="228"/>
      <c r="AJ19" s="228"/>
      <c r="AK19" s="228"/>
      <c r="AL19" s="228"/>
      <c r="AM19" s="228"/>
      <c r="AN19" s="97" t="s">
        <v>24</v>
      </c>
      <c r="AO19" s="97" t="s">
        <v>24</v>
      </c>
      <c r="AP19" s="810"/>
    </row>
    <row r="20" spans="1:42" s="1" customFormat="1" ht="63" customHeight="1">
      <c r="A20" s="743"/>
      <c r="B20" s="743"/>
      <c r="C20" s="742" t="s">
        <v>197</v>
      </c>
      <c r="D20" s="742" t="s">
        <v>18</v>
      </c>
      <c r="E20" s="742" t="s">
        <v>51</v>
      </c>
      <c r="F20" s="742">
        <v>3</v>
      </c>
      <c r="G20" s="743"/>
      <c r="H20" s="92" t="s">
        <v>201</v>
      </c>
      <c r="I20" s="92" t="s">
        <v>18</v>
      </c>
      <c r="J20" s="96" t="s">
        <v>401</v>
      </c>
      <c r="K20" s="97">
        <v>95</v>
      </c>
      <c r="L20" s="97" t="s">
        <v>358</v>
      </c>
      <c r="M20" s="97">
        <v>23.75</v>
      </c>
      <c r="N20" s="97">
        <f>M20+M20</f>
        <v>47.5</v>
      </c>
      <c r="O20" s="97">
        <f>+N20+M20</f>
        <v>71.25</v>
      </c>
      <c r="P20" s="183">
        <v>0.95</v>
      </c>
      <c r="Q20" s="97">
        <v>2020201</v>
      </c>
      <c r="R20" s="227"/>
      <c r="S20" s="228">
        <v>155500083</v>
      </c>
      <c r="T20" s="228"/>
      <c r="U20" s="228">
        <f t="shared" si="4"/>
        <v>155500083</v>
      </c>
      <c r="V20" s="228">
        <v>14400000</v>
      </c>
      <c r="W20" s="228">
        <v>17500000</v>
      </c>
      <c r="X20" s="228"/>
      <c r="Y20" s="228"/>
      <c r="Z20" s="228">
        <v>85077715</v>
      </c>
      <c r="AA20" s="228">
        <v>17500000</v>
      </c>
      <c r="AB20" s="228"/>
      <c r="AC20" s="228"/>
      <c r="AD20" s="228"/>
      <c r="AE20" s="228"/>
      <c r="AF20" s="228"/>
      <c r="AG20" s="228"/>
      <c r="AH20" s="228"/>
      <c r="AI20" s="228"/>
      <c r="AJ20" s="228"/>
      <c r="AK20" s="228"/>
      <c r="AL20" s="228"/>
      <c r="AM20" s="228"/>
      <c r="AN20" s="97" t="s">
        <v>24</v>
      </c>
      <c r="AO20" s="97" t="s">
        <v>24</v>
      </c>
      <c r="AP20" s="810"/>
    </row>
    <row r="21" spans="1:42" s="1" customFormat="1" ht="115.5" customHeight="1">
      <c r="A21" s="743"/>
      <c r="B21" s="743"/>
      <c r="C21" s="743"/>
      <c r="D21" s="743"/>
      <c r="E21" s="743"/>
      <c r="F21" s="743"/>
      <c r="G21" s="743"/>
      <c r="H21" s="92" t="s">
        <v>202</v>
      </c>
      <c r="I21" s="92" t="s">
        <v>86</v>
      </c>
      <c r="J21" s="96" t="s">
        <v>402</v>
      </c>
      <c r="K21" s="97">
        <v>32</v>
      </c>
      <c r="L21" s="97" t="s">
        <v>404</v>
      </c>
      <c r="M21" s="97">
        <v>8</v>
      </c>
      <c r="N21" s="97">
        <v>8</v>
      </c>
      <c r="O21" s="97">
        <v>8</v>
      </c>
      <c r="P21" s="97">
        <v>8</v>
      </c>
      <c r="Q21" s="97">
        <v>2020201</v>
      </c>
      <c r="R21" s="227"/>
      <c r="S21" s="228">
        <v>155500084</v>
      </c>
      <c r="T21" s="228"/>
      <c r="U21" s="228">
        <f t="shared" si="4"/>
        <v>155500084</v>
      </c>
      <c r="V21" s="228">
        <v>0</v>
      </c>
      <c r="W21" s="228">
        <v>9639442</v>
      </c>
      <c r="X21" s="228"/>
      <c r="Y21" s="228"/>
      <c r="Z21" s="228">
        <v>85077715</v>
      </c>
      <c r="AA21" s="228">
        <v>9639442</v>
      </c>
      <c r="AB21" s="228"/>
      <c r="AC21" s="228"/>
      <c r="AD21" s="228"/>
      <c r="AE21" s="228"/>
      <c r="AF21" s="228"/>
      <c r="AG21" s="228"/>
      <c r="AH21" s="228"/>
      <c r="AI21" s="228"/>
      <c r="AJ21" s="228"/>
      <c r="AK21" s="228"/>
      <c r="AL21" s="228"/>
      <c r="AM21" s="228"/>
      <c r="AN21" s="97" t="s">
        <v>24</v>
      </c>
      <c r="AO21" s="97" t="s">
        <v>24</v>
      </c>
      <c r="AP21" s="810"/>
    </row>
    <row r="22" spans="1:42" s="1" customFormat="1" ht="66" customHeight="1">
      <c r="A22" s="745"/>
      <c r="B22" s="745"/>
      <c r="C22" s="745"/>
      <c r="D22" s="745"/>
      <c r="E22" s="745"/>
      <c r="F22" s="745"/>
      <c r="G22" s="745"/>
      <c r="H22" s="92" t="s">
        <v>203</v>
      </c>
      <c r="I22" s="92" t="s">
        <v>18</v>
      </c>
      <c r="J22" s="96" t="s">
        <v>403</v>
      </c>
      <c r="K22" s="97">
        <v>95</v>
      </c>
      <c r="L22" s="97" t="s">
        <v>358</v>
      </c>
      <c r="M22" s="97">
        <v>10</v>
      </c>
      <c r="N22" s="97">
        <v>25</v>
      </c>
      <c r="O22" s="97">
        <v>50</v>
      </c>
      <c r="P22" s="97">
        <v>95</v>
      </c>
      <c r="Q22" s="97">
        <v>2020201</v>
      </c>
      <c r="R22" s="227"/>
      <c r="S22" s="228">
        <v>100000000</v>
      </c>
      <c r="T22" s="228"/>
      <c r="U22" s="228">
        <f t="shared" si="4"/>
        <v>100000000</v>
      </c>
      <c r="V22" s="228">
        <v>0</v>
      </c>
      <c r="W22" s="228">
        <v>47500000</v>
      </c>
      <c r="X22" s="228"/>
      <c r="Y22" s="228"/>
      <c r="Z22" s="228">
        <v>85077715</v>
      </c>
      <c r="AA22" s="228">
        <v>47500000</v>
      </c>
      <c r="AB22" s="228"/>
      <c r="AC22" s="228"/>
      <c r="AD22" s="228"/>
      <c r="AE22" s="228"/>
      <c r="AF22" s="228"/>
      <c r="AG22" s="228"/>
      <c r="AH22" s="228"/>
      <c r="AI22" s="228"/>
      <c r="AJ22" s="228"/>
      <c r="AK22" s="228"/>
      <c r="AL22" s="228"/>
      <c r="AM22" s="228"/>
      <c r="AN22" s="97" t="s">
        <v>24</v>
      </c>
      <c r="AO22" s="97" t="s">
        <v>24</v>
      </c>
      <c r="AP22" s="811"/>
    </row>
    <row r="23" spans="1:42" s="1" customFormat="1" ht="31.5" customHeight="1">
      <c r="A23" s="1027" t="s">
        <v>607</v>
      </c>
      <c r="B23" s="1028"/>
      <c r="C23" s="1028"/>
      <c r="D23" s="1028"/>
      <c r="E23" s="1028"/>
      <c r="F23" s="1028"/>
      <c r="G23" s="1028"/>
      <c r="H23" s="1028"/>
      <c r="I23" s="1028"/>
      <c r="J23" s="1029"/>
      <c r="K23" s="278">
        <f>K18</f>
        <v>1</v>
      </c>
      <c r="L23" s="278" t="s">
        <v>452</v>
      </c>
      <c r="M23" s="278">
        <f>M18</f>
        <v>0</v>
      </c>
      <c r="N23" s="278">
        <f t="shared" ref="N23:P23" si="9">N18</f>
        <v>0</v>
      </c>
      <c r="O23" s="278">
        <f t="shared" si="9"/>
        <v>0</v>
      </c>
      <c r="P23" s="278">
        <f t="shared" si="9"/>
        <v>1</v>
      </c>
      <c r="Q23" s="278"/>
      <c r="R23" s="279"/>
      <c r="S23" s="1068">
        <f>S22+S21+S20+S19+S18</f>
        <v>1762218738.5</v>
      </c>
      <c r="T23" s="373"/>
      <c r="U23" s="1068">
        <f>U22+U21+U20+U19+U18</f>
        <v>1762218738.5</v>
      </c>
      <c r="V23" s="278">
        <f>V18</f>
        <v>14400000</v>
      </c>
      <c r="W23" s="278">
        <f t="shared" ref="W23:Y23" si="10">W18</f>
        <v>17500000</v>
      </c>
      <c r="X23" s="278">
        <f t="shared" si="10"/>
        <v>0</v>
      </c>
      <c r="Y23" s="278">
        <f t="shared" si="10"/>
        <v>0</v>
      </c>
      <c r="Z23" s="1068">
        <f>Z22+Z21+Z20+Z19+Z18</f>
        <v>886457194</v>
      </c>
      <c r="AA23" s="1068">
        <f t="shared" ref="AA23:AE23" si="11">AA22+AA21+AA20+AA19+AA18</f>
        <v>840303091</v>
      </c>
      <c r="AB23" s="1068">
        <f t="shared" si="11"/>
        <v>0</v>
      </c>
      <c r="AC23" s="1068">
        <f t="shared" si="11"/>
        <v>0</v>
      </c>
      <c r="AD23" s="1068">
        <f t="shared" si="11"/>
        <v>0</v>
      </c>
      <c r="AE23" s="1068">
        <f t="shared" si="11"/>
        <v>0</v>
      </c>
      <c r="AF23" s="244"/>
      <c r="AG23" s="244"/>
      <c r="AH23" s="244"/>
      <c r="AI23" s="244"/>
      <c r="AJ23" s="244"/>
      <c r="AK23" s="244"/>
      <c r="AL23" s="244"/>
      <c r="AM23" s="244"/>
      <c r="AN23" s="239"/>
      <c r="AO23" s="239"/>
      <c r="AP23" s="167"/>
    </row>
    <row r="24" spans="1:42" s="1" customFormat="1" ht="18" customHeight="1">
      <c r="A24" s="1065"/>
      <c r="B24" s="1066"/>
      <c r="C24" s="1066"/>
      <c r="D24" s="1066"/>
      <c r="E24" s="1066"/>
      <c r="F24" s="1066"/>
      <c r="G24" s="1066"/>
      <c r="H24" s="1066"/>
      <c r="I24" s="1066"/>
      <c r="J24" s="1067"/>
      <c r="K24" s="278">
        <v>100</v>
      </c>
      <c r="L24" s="278" t="s">
        <v>358</v>
      </c>
      <c r="M24" s="296">
        <v>1</v>
      </c>
      <c r="N24" s="296">
        <v>1</v>
      </c>
      <c r="O24" s="296">
        <v>1</v>
      </c>
      <c r="P24" s="296">
        <v>1</v>
      </c>
      <c r="Q24" s="278"/>
      <c r="R24" s="279"/>
      <c r="S24" s="1070"/>
      <c r="T24" s="374"/>
      <c r="U24" s="1070"/>
      <c r="V24" s="313">
        <f>AVERAGE(V22+V20+V19)</f>
        <v>203587445</v>
      </c>
      <c r="W24" s="313">
        <f t="shared" ref="W24:Y24" si="12">AVERAGE(W22+W20+W19)</f>
        <v>813163649</v>
      </c>
      <c r="X24" s="313">
        <f t="shared" si="12"/>
        <v>0</v>
      </c>
      <c r="Y24" s="313">
        <f t="shared" si="12"/>
        <v>0</v>
      </c>
      <c r="Z24" s="1070"/>
      <c r="AA24" s="1070"/>
      <c r="AB24" s="1070"/>
      <c r="AC24" s="1070"/>
      <c r="AD24" s="1070"/>
      <c r="AE24" s="1070"/>
      <c r="AF24" s="244"/>
      <c r="AG24" s="244"/>
      <c r="AH24" s="244"/>
      <c r="AI24" s="244"/>
      <c r="AJ24" s="244"/>
      <c r="AK24" s="244"/>
      <c r="AL24" s="244"/>
      <c r="AM24" s="244"/>
      <c r="AN24" s="239"/>
      <c r="AO24" s="239"/>
      <c r="AP24" s="167"/>
    </row>
    <row r="25" spans="1:42" s="1" customFormat="1" ht="22.5" customHeight="1">
      <c r="A25" s="1030"/>
      <c r="B25" s="1031"/>
      <c r="C25" s="1031"/>
      <c r="D25" s="1031"/>
      <c r="E25" s="1031"/>
      <c r="F25" s="1031"/>
      <c r="G25" s="1031"/>
      <c r="H25" s="1031"/>
      <c r="I25" s="1031"/>
      <c r="J25" s="1032"/>
      <c r="K25" s="278">
        <f>K21</f>
        <v>32</v>
      </c>
      <c r="L25" s="278" t="s">
        <v>86</v>
      </c>
      <c r="M25" s="278">
        <f>M21</f>
        <v>8</v>
      </c>
      <c r="N25" s="278">
        <f t="shared" ref="N25:P25" si="13">N21</f>
        <v>8</v>
      </c>
      <c r="O25" s="278">
        <f t="shared" si="13"/>
        <v>8</v>
      </c>
      <c r="P25" s="278">
        <f t="shared" si="13"/>
        <v>8</v>
      </c>
      <c r="Q25" s="278"/>
      <c r="R25" s="279"/>
      <c r="S25" s="1069"/>
      <c r="T25" s="295"/>
      <c r="U25" s="1069"/>
      <c r="V25" s="278">
        <f>V21</f>
        <v>0</v>
      </c>
      <c r="W25" s="278">
        <f t="shared" ref="W25:Y25" si="14">W21</f>
        <v>9639442</v>
      </c>
      <c r="X25" s="278">
        <f t="shared" si="14"/>
        <v>0</v>
      </c>
      <c r="Y25" s="278">
        <f t="shared" si="14"/>
        <v>0</v>
      </c>
      <c r="Z25" s="1069"/>
      <c r="AA25" s="1069"/>
      <c r="AB25" s="1069"/>
      <c r="AC25" s="1069"/>
      <c r="AD25" s="1069"/>
      <c r="AE25" s="1069"/>
      <c r="AF25" s="244"/>
      <c r="AG25" s="244"/>
      <c r="AH25" s="244"/>
      <c r="AI25" s="244"/>
      <c r="AJ25" s="244"/>
      <c r="AK25" s="244"/>
      <c r="AL25" s="244"/>
      <c r="AM25" s="244"/>
      <c r="AN25" s="239"/>
      <c r="AO25" s="239"/>
      <c r="AP25" s="167"/>
    </row>
    <row r="26" spans="1:42" s="1" customFormat="1" ht="96.75" customHeight="1">
      <c r="A26" s="742" t="s">
        <v>207</v>
      </c>
      <c r="B26" s="742" t="s">
        <v>208</v>
      </c>
      <c r="C26" s="742" t="s">
        <v>209</v>
      </c>
      <c r="D26" s="742" t="s">
        <v>18</v>
      </c>
      <c r="E26" s="742" t="s">
        <v>51</v>
      </c>
      <c r="F26" s="742">
        <v>90</v>
      </c>
      <c r="G26" s="742" t="s">
        <v>211</v>
      </c>
      <c r="H26" s="92" t="s">
        <v>212</v>
      </c>
      <c r="I26" s="92" t="s">
        <v>17</v>
      </c>
      <c r="J26" s="113" t="s">
        <v>500</v>
      </c>
      <c r="K26" s="100">
        <v>30</v>
      </c>
      <c r="L26" s="100" t="s">
        <v>358</v>
      </c>
      <c r="M26" s="100">
        <v>0</v>
      </c>
      <c r="N26" s="100">
        <v>5</v>
      </c>
      <c r="O26" s="100">
        <v>15</v>
      </c>
      <c r="P26" s="100">
        <v>30</v>
      </c>
      <c r="Q26" s="173" t="s">
        <v>27</v>
      </c>
      <c r="R26" s="114"/>
      <c r="S26" s="228">
        <f>1800000000+30000000</f>
        <v>1830000000</v>
      </c>
      <c r="T26" s="217">
        <f>814580337-312000000</f>
        <v>502580337</v>
      </c>
      <c r="U26" s="217">
        <f>+S26+T26</f>
        <v>2332580337</v>
      </c>
      <c r="V26" s="228">
        <v>93349967</v>
      </c>
      <c r="W26" s="228">
        <v>490464744</v>
      </c>
      <c r="X26" s="228"/>
      <c r="Y26" s="228"/>
      <c r="Z26" s="228">
        <v>94538182</v>
      </c>
      <c r="AA26" s="228">
        <v>490464744</v>
      </c>
      <c r="AB26" s="228"/>
      <c r="AC26" s="228"/>
      <c r="AD26" s="228"/>
      <c r="AE26" s="228"/>
      <c r="AF26" s="228"/>
      <c r="AG26" s="228"/>
      <c r="AH26" s="228"/>
      <c r="AI26" s="228"/>
      <c r="AJ26" s="228"/>
      <c r="AK26" s="228"/>
      <c r="AL26" s="228"/>
      <c r="AM26" s="228"/>
      <c r="AN26" s="97" t="s">
        <v>24</v>
      </c>
      <c r="AO26" s="97" t="s">
        <v>24</v>
      </c>
      <c r="AP26" s="809" t="s">
        <v>334</v>
      </c>
    </row>
    <row r="27" spans="1:42" s="1" customFormat="1" ht="60" customHeight="1">
      <c r="A27" s="743"/>
      <c r="B27" s="743"/>
      <c r="C27" s="743"/>
      <c r="D27" s="743"/>
      <c r="E27" s="743"/>
      <c r="F27" s="743"/>
      <c r="G27" s="743"/>
      <c r="H27" s="92" t="s">
        <v>213</v>
      </c>
      <c r="I27" s="92" t="s">
        <v>17</v>
      </c>
      <c r="J27" s="94" t="s">
        <v>405</v>
      </c>
      <c r="K27" s="97">
        <v>1</v>
      </c>
      <c r="L27" s="97" t="s">
        <v>399</v>
      </c>
      <c r="M27" s="97">
        <v>0</v>
      </c>
      <c r="N27" s="97">
        <v>1</v>
      </c>
      <c r="O27" s="97">
        <v>0</v>
      </c>
      <c r="P27" s="97">
        <v>0</v>
      </c>
      <c r="Q27" s="98" t="s">
        <v>352</v>
      </c>
      <c r="R27" s="227"/>
      <c r="S27" s="228">
        <v>700000000</v>
      </c>
      <c r="T27" s="228"/>
      <c r="U27" s="217">
        <f t="shared" ref="U27:U31" si="15">+S27+T27</f>
        <v>700000000</v>
      </c>
      <c r="V27" s="228">
        <v>0</v>
      </c>
      <c r="W27" s="228">
        <v>147148509</v>
      </c>
      <c r="X27" s="228"/>
      <c r="Y27" s="228"/>
      <c r="Z27" s="228">
        <v>0</v>
      </c>
      <c r="AA27" s="228">
        <v>147148509</v>
      </c>
      <c r="AB27" s="228"/>
      <c r="AC27" s="228"/>
      <c r="AD27" s="228"/>
      <c r="AE27" s="228"/>
      <c r="AF27" s="228"/>
      <c r="AG27" s="228"/>
      <c r="AH27" s="228"/>
      <c r="AI27" s="228"/>
      <c r="AJ27" s="228"/>
      <c r="AK27" s="228"/>
      <c r="AL27" s="228"/>
      <c r="AM27" s="228"/>
      <c r="AN27" s="97" t="s">
        <v>24</v>
      </c>
      <c r="AO27" s="97" t="s">
        <v>24</v>
      </c>
      <c r="AP27" s="810"/>
    </row>
    <row r="28" spans="1:42" s="1" customFormat="1" ht="81" customHeight="1" thickBot="1">
      <c r="A28" s="743"/>
      <c r="B28" s="743"/>
      <c r="C28" s="743"/>
      <c r="D28" s="743"/>
      <c r="E28" s="743"/>
      <c r="F28" s="743"/>
      <c r="G28" s="743"/>
      <c r="H28" s="92" t="s">
        <v>214</v>
      </c>
      <c r="I28" s="92" t="s">
        <v>17</v>
      </c>
      <c r="J28" s="94" t="s">
        <v>406</v>
      </c>
      <c r="K28" s="97">
        <v>1</v>
      </c>
      <c r="L28" s="97" t="s">
        <v>399</v>
      </c>
      <c r="M28" s="97">
        <v>0</v>
      </c>
      <c r="N28" s="97">
        <v>0</v>
      </c>
      <c r="O28" s="97">
        <v>0</v>
      </c>
      <c r="P28" s="97">
        <v>1</v>
      </c>
      <c r="Q28" s="98"/>
      <c r="R28" s="227"/>
      <c r="S28" s="228">
        <v>59535000</v>
      </c>
      <c r="T28" s="228"/>
      <c r="U28" s="217">
        <f t="shared" si="15"/>
        <v>59535000</v>
      </c>
      <c r="V28" s="228">
        <v>0</v>
      </c>
      <c r="W28" s="228">
        <v>0</v>
      </c>
      <c r="X28" s="228"/>
      <c r="Y28" s="228"/>
      <c r="Z28" s="228">
        <v>0</v>
      </c>
      <c r="AA28" s="228">
        <v>0</v>
      </c>
      <c r="AB28" s="228"/>
      <c r="AC28" s="228"/>
      <c r="AD28" s="228"/>
      <c r="AE28" s="228"/>
      <c r="AF28" s="228"/>
      <c r="AG28" s="228"/>
      <c r="AH28" s="228"/>
      <c r="AI28" s="228"/>
      <c r="AJ28" s="228"/>
      <c r="AK28" s="228"/>
      <c r="AL28" s="228"/>
      <c r="AM28" s="228"/>
      <c r="AN28" s="97" t="s">
        <v>24</v>
      </c>
      <c r="AO28" s="97" t="s">
        <v>24</v>
      </c>
      <c r="AP28" s="810"/>
    </row>
    <row r="29" spans="1:42" s="1" customFormat="1" ht="81" customHeight="1">
      <c r="A29" s="743"/>
      <c r="B29" s="743"/>
      <c r="C29" s="743"/>
      <c r="D29" s="743"/>
      <c r="E29" s="743"/>
      <c r="F29" s="743"/>
      <c r="G29" s="743"/>
      <c r="H29" s="99" t="s">
        <v>217</v>
      </c>
      <c r="I29" s="92" t="s">
        <v>18</v>
      </c>
      <c r="J29" s="96" t="s">
        <v>407</v>
      </c>
      <c r="K29" s="97">
        <v>100</v>
      </c>
      <c r="L29" s="97" t="s">
        <v>358</v>
      </c>
      <c r="M29" s="319">
        <v>0</v>
      </c>
      <c r="N29" s="319">
        <v>50</v>
      </c>
      <c r="O29" s="319"/>
      <c r="P29" s="319">
        <v>100</v>
      </c>
      <c r="Q29" s="98" t="s">
        <v>657</v>
      </c>
      <c r="R29" s="227"/>
      <c r="S29" s="228">
        <v>300000000</v>
      </c>
      <c r="T29" s="228"/>
      <c r="U29" s="217">
        <f t="shared" si="15"/>
        <v>300000000</v>
      </c>
      <c r="V29" s="228">
        <v>79593150</v>
      </c>
      <c r="W29" s="228">
        <v>114973257</v>
      </c>
      <c r="X29" s="228"/>
      <c r="Y29" s="228"/>
      <c r="Z29" s="228">
        <f>179306952-40000000</f>
        <v>139306952</v>
      </c>
      <c r="AA29" s="228">
        <v>114973257</v>
      </c>
      <c r="AB29" s="228"/>
      <c r="AC29" s="228"/>
      <c r="AD29" s="228"/>
      <c r="AE29" s="228"/>
      <c r="AF29" s="228"/>
      <c r="AG29" s="228"/>
      <c r="AH29" s="228"/>
      <c r="AI29" s="228"/>
      <c r="AJ29" s="228"/>
      <c r="AK29" s="228"/>
      <c r="AL29" s="228"/>
      <c r="AM29" s="228"/>
      <c r="AN29" s="97" t="s">
        <v>24</v>
      </c>
      <c r="AO29" s="97" t="s">
        <v>24</v>
      </c>
      <c r="AP29" s="810"/>
    </row>
    <row r="30" spans="1:42" s="1" customFormat="1" ht="101.25" customHeight="1">
      <c r="A30" s="743"/>
      <c r="B30" s="743"/>
      <c r="C30" s="745"/>
      <c r="D30" s="745"/>
      <c r="E30" s="745"/>
      <c r="F30" s="745"/>
      <c r="G30" s="743"/>
      <c r="H30" s="92" t="s">
        <v>215</v>
      </c>
      <c r="I30" s="92" t="s">
        <v>18</v>
      </c>
      <c r="J30" s="94" t="s">
        <v>408</v>
      </c>
      <c r="K30" s="97">
        <v>100</v>
      </c>
      <c r="L30" s="97" t="s">
        <v>358</v>
      </c>
      <c r="M30" s="319">
        <v>25</v>
      </c>
      <c r="N30" s="319">
        <v>50</v>
      </c>
      <c r="O30" s="319">
        <v>75</v>
      </c>
      <c r="P30" s="319">
        <v>100</v>
      </c>
      <c r="Q30" s="98" t="s">
        <v>352</v>
      </c>
      <c r="R30" s="227"/>
      <c r="S30" s="228">
        <v>40000000</v>
      </c>
      <c r="T30" s="228"/>
      <c r="U30" s="217">
        <f t="shared" si="15"/>
        <v>40000000</v>
      </c>
      <c r="V30" s="228">
        <v>0</v>
      </c>
      <c r="W30" s="228">
        <v>0</v>
      </c>
      <c r="X30" s="228"/>
      <c r="Y30" s="228"/>
      <c r="Z30" s="228">
        <v>40000000</v>
      </c>
      <c r="AA30" s="228">
        <v>0</v>
      </c>
      <c r="AB30" s="228"/>
      <c r="AC30" s="228"/>
      <c r="AD30" s="228"/>
      <c r="AE30" s="228"/>
      <c r="AF30" s="228"/>
      <c r="AG30" s="228"/>
      <c r="AH30" s="228"/>
      <c r="AI30" s="228"/>
      <c r="AJ30" s="228"/>
      <c r="AK30" s="228"/>
      <c r="AL30" s="228"/>
      <c r="AM30" s="228"/>
      <c r="AN30" s="97" t="s">
        <v>24</v>
      </c>
      <c r="AO30" s="97" t="s">
        <v>24</v>
      </c>
      <c r="AP30" s="810"/>
    </row>
    <row r="31" spans="1:42" s="1" customFormat="1" ht="56.25" customHeight="1" thickBot="1">
      <c r="A31" s="744"/>
      <c r="B31" s="744"/>
      <c r="C31" s="100" t="s">
        <v>210</v>
      </c>
      <c r="D31" s="100" t="s">
        <v>18</v>
      </c>
      <c r="E31" s="101" t="s">
        <v>51</v>
      </c>
      <c r="F31" s="100">
        <v>75</v>
      </c>
      <c r="G31" s="744"/>
      <c r="H31" s="101" t="s">
        <v>216</v>
      </c>
      <c r="I31" s="101" t="s">
        <v>18</v>
      </c>
      <c r="J31" s="113" t="s">
        <v>409</v>
      </c>
      <c r="K31" s="319">
        <v>70</v>
      </c>
      <c r="L31" s="100" t="s">
        <v>358</v>
      </c>
      <c r="M31" s="319">
        <v>0</v>
      </c>
      <c r="N31" s="319">
        <v>10</v>
      </c>
      <c r="O31" s="319">
        <v>30</v>
      </c>
      <c r="P31" s="319">
        <v>70</v>
      </c>
      <c r="Q31" s="100" t="s">
        <v>353</v>
      </c>
      <c r="R31" s="114"/>
      <c r="S31" s="228">
        <v>167000000</v>
      </c>
      <c r="T31" s="217">
        <v>0</v>
      </c>
      <c r="U31" s="217">
        <f t="shared" si="15"/>
        <v>167000000</v>
      </c>
      <c r="V31" s="228">
        <v>46912886</v>
      </c>
      <c r="W31" s="228">
        <v>70828800</v>
      </c>
      <c r="X31" s="228"/>
      <c r="Y31" s="228"/>
      <c r="Z31" s="228">
        <v>0</v>
      </c>
      <c r="AA31" s="228">
        <v>70828800</v>
      </c>
      <c r="AB31" s="228"/>
      <c r="AC31" s="228"/>
      <c r="AD31" s="228"/>
      <c r="AE31" s="228"/>
      <c r="AF31" s="228"/>
      <c r="AG31" s="228"/>
      <c r="AH31" s="228"/>
      <c r="AI31" s="228"/>
      <c r="AJ31" s="228"/>
      <c r="AK31" s="228"/>
      <c r="AL31" s="228"/>
      <c r="AM31" s="228"/>
      <c r="AN31" s="97" t="s">
        <v>24</v>
      </c>
      <c r="AO31" s="97" t="s">
        <v>24</v>
      </c>
      <c r="AP31" s="811"/>
    </row>
    <row r="32" spans="1:42" s="1" customFormat="1" ht="24" customHeight="1">
      <c r="A32" s="1027" t="s">
        <v>607</v>
      </c>
      <c r="B32" s="1028"/>
      <c r="C32" s="1028"/>
      <c r="D32" s="1028"/>
      <c r="E32" s="1028"/>
      <c r="F32" s="1028"/>
      <c r="G32" s="1028"/>
      <c r="H32" s="1028"/>
      <c r="I32" s="1028"/>
      <c r="J32" s="1029"/>
      <c r="K32" s="239">
        <f>K28+K27</f>
        <v>2</v>
      </c>
      <c r="L32" s="239" t="s">
        <v>452</v>
      </c>
      <c r="M32" s="239">
        <f t="shared" ref="M32:P32" si="16">M28+M27</f>
        <v>0</v>
      </c>
      <c r="N32" s="239">
        <f t="shared" si="16"/>
        <v>1</v>
      </c>
      <c r="O32" s="239">
        <f t="shared" si="16"/>
        <v>0</v>
      </c>
      <c r="P32" s="239">
        <f t="shared" si="16"/>
        <v>1</v>
      </c>
      <c r="Q32" s="239"/>
      <c r="R32" s="243"/>
      <c r="S32" s="1068">
        <f>S31+S30+S29+S28+S27+S26</f>
        <v>3096535000</v>
      </c>
      <c r="T32" s="373"/>
      <c r="U32" s="1068">
        <f>U31+U30+U29+U28+U27+U26</f>
        <v>3599115337</v>
      </c>
      <c r="V32" s="239">
        <f>V28+V27</f>
        <v>0</v>
      </c>
      <c r="W32" s="239">
        <f>W28+W27</f>
        <v>147148509</v>
      </c>
      <c r="X32" s="239">
        <f>X28+X27</f>
        <v>0</v>
      </c>
      <c r="Y32" s="239">
        <f>Y28+Y27</f>
        <v>0</v>
      </c>
      <c r="Z32" s="1068">
        <f>Z31+Z30+Z29+Z28+Z27+Z26</f>
        <v>273845134</v>
      </c>
      <c r="AA32" s="1068">
        <f>AA31+AA30+AA29+AA28+AA27+AA26</f>
        <v>823415310</v>
      </c>
      <c r="AB32" s="1068">
        <f>AB31+AB30+AB29+AB28+AB27+AB26</f>
        <v>0</v>
      </c>
      <c r="AC32" s="1068">
        <f>AC31+AC30+AC29+AC28+AC27+AC26</f>
        <v>0</v>
      </c>
      <c r="AD32" s="244"/>
      <c r="AE32" s="244"/>
      <c r="AF32" s="244"/>
      <c r="AG32" s="244"/>
      <c r="AH32" s="244"/>
      <c r="AI32" s="244"/>
      <c r="AJ32" s="244"/>
      <c r="AK32" s="244"/>
      <c r="AL32" s="244"/>
      <c r="AM32" s="244"/>
      <c r="AN32" s="239"/>
      <c r="AO32" s="239"/>
    </row>
    <row r="33" spans="1:41" s="1" customFormat="1" ht="30" customHeight="1">
      <c r="A33" s="1030"/>
      <c r="B33" s="1031"/>
      <c r="C33" s="1031"/>
      <c r="D33" s="1031"/>
      <c r="E33" s="1031"/>
      <c r="F33" s="1031"/>
      <c r="G33" s="1031"/>
      <c r="H33" s="1031"/>
      <c r="I33" s="1031"/>
      <c r="J33" s="1032"/>
      <c r="K33" s="239">
        <v>100</v>
      </c>
      <c r="L33" s="239" t="s">
        <v>18</v>
      </c>
      <c r="M33" s="239">
        <v>100</v>
      </c>
      <c r="N33" s="239">
        <v>100</v>
      </c>
      <c r="O33" s="239">
        <v>100</v>
      </c>
      <c r="P33" s="239">
        <v>100</v>
      </c>
      <c r="Q33" s="239"/>
      <c r="R33" s="243"/>
      <c r="S33" s="1069"/>
      <c r="T33" s="295"/>
      <c r="U33" s="1069"/>
      <c r="V33" s="377">
        <f>AVERAGE(V31+V30+V29+V26)</f>
        <v>219856003</v>
      </c>
      <c r="W33" s="377">
        <f t="shared" ref="W33:Y33" si="17">AVERAGE(W31+W30+W29+W26)</f>
        <v>676266801</v>
      </c>
      <c r="X33" s="313">
        <f t="shared" si="17"/>
        <v>0</v>
      </c>
      <c r="Y33" s="313">
        <f t="shared" si="17"/>
        <v>0</v>
      </c>
      <c r="Z33" s="1069"/>
      <c r="AA33" s="1069"/>
      <c r="AB33" s="1069"/>
      <c r="AC33" s="1069"/>
      <c r="AD33" s="244"/>
      <c r="AE33" s="244"/>
      <c r="AF33" s="244"/>
      <c r="AG33" s="244"/>
      <c r="AH33" s="244"/>
      <c r="AI33" s="244"/>
      <c r="AJ33" s="244"/>
      <c r="AK33" s="244"/>
      <c r="AL33" s="244"/>
      <c r="AM33" s="244"/>
      <c r="AN33" s="239"/>
      <c r="AO33" s="239"/>
    </row>
    <row r="34" spans="1:41" s="1" customFormat="1">
      <c r="A34" s="3"/>
      <c r="B34" s="3"/>
      <c r="C34" s="3"/>
      <c r="D34" s="3"/>
      <c r="E34" s="3"/>
      <c r="F34" s="3"/>
      <c r="G34" s="3"/>
      <c r="H34" s="3"/>
      <c r="I34" s="3"/>
      <c r="J34" s="5"/>
      <c r="K34" s="3"/>
      <c r="L34" s="3"/>
      <c r="M34" s="3"/>
      <c r="N34" s="3"/>
      <c r="O34" s="3"/>
      <c r="P34" s="3"/>
      <c r="Q34" s="3">
        <v>59707696938</v>
      </c>
      <c r="R34" s="3"/>
      <c r="S34" s="7"/>
      <c r="T34" s="7"/>
      <c r="U34" s="11" t="e">
        <f>#REF!-#REF!</f>
        <v>#REF!</v>
      </c>
      <c r="V34" s="11"/>
      <c r="W34" s="11"/>
      <c r="X34" s="11"/>
      <c r="Y34" s="11"/>
      <c r="Z34" s="11"/>
      <c r="AA34" s="11"/>
      <c r="AB34" s="11"/>
      <c r="AC34" s="11"/>
      <c r="AD34" s="11"/>
      <c r="AE34" s="11"/>
      <c r="AF34" s="11"/>
      <c r="AG34" s="11"/>
      <c r="AH34" s="11"/>
      <c r="AI34" s="11"/>
      <c r="AJ34" s="11"/>
      <c r="AK34" s="11"/>
      <c r="AL34" s="11"/>
      <c r="AM34" s="11"/>
      <c r="AN34" s="3"/>
      <c r="AO34" s="3"/>
    </row>
    <row r="35" spans="1:41" s="1" customFormat="1">
      <c r="A35" s="3"/>
      <c r="B35" s="3"/>
      <c r="C35" s="3"/>
      <c r="D35" s="3"/>
      <c r="E35" s="3"/>
      <c r="F35" s="3"/>
      <c r="G35" s="3"/>
      <c r="H35" s="3"/>
      <c r="I35" s="3"/>
      <c r="J35" s="5"/>
      <c r="K35" s="3"/>
      <c r="L35" s="3"/>
      <c r="M35" s="3"/>
      <c r="N35" s="3"/>
      <c r="O35" s="3"/>
      <c r="P35" s="3"/>
      <c r="Q35" s="3">
        <f>+Q33-Q34</f>
        <v>-59707696938</v>
      </c>
      <c r="R35" s="3"/>
      <c r="S35" s="7"/>
      <c r="T35" s="7"/>
      <c r="U35" s="7"/>
      <c r="V35" s="7"/>
      <c r="W35" s="7"/>
      <c r="X35" s="7"/>
      <c r="Y35" s="7"/>
      <c r="Z35" s="7"/>
      <c r="AA35" s="7"/>
      <c r="AB35" s="7"/>
      <c r="AC35" s="7"/>
      <c r="AD35" s="7"/>
      <c r="AE35" s="7"/>
      <c r="AF35" s="7"/>
      <c r="AG35" s="7"/>
      <c r="AH35" s="7"/>
      <c r="AI35" s="7"/>
      <c r="AJ35" s="7"/>
      <c r="AK35" s="7"/>
      <c r="AL35" s="7"/>
      <c r="AM35" s="7"/>
      <c r="AN35" s="3"/>
      <c r="AO35" s="3"/>
    </row>
    <row r="36" spans="1:41" s="1" customFormat="1">
      <c r="A36" s="3"/>
      <c r="B36" s="3"/>
      <c r="C36" s="3"/>
      <c r="D36" s="3"/>
      <c r="E36" s="3"/>
      <c r="F36" s="3"/>
      <c r="G36" s="3"/>
      <c r="H36" s="3"/>
      <c r="I36" s="3"/>
      <c r="J36" s="5"/>
      <c r="K36" s="3"/>
      <c r="L36" s="3"/>
      <c r="M36" s="3"/>
      <c r="N36" s="3"/>
      <c r="O36" s="3"/>
      <c r="P36" s="3"/>
      <c r="Q36" s="3"/>
      <c r="R36" s="3"/>
      <c r="S36" s="7"/>
      <c r="T36" s="7"/>
      <c r="U36" s="7"/>
      <c r="V36" s="7"/>
      <c r="W36" s="7"/>
      <c r="X36" s="7"/>
      <c r="Y36" s="7"/>
      <c r="Z36" s="7"/>
      <c r="AA36" s="7"/>
      <c r="AB36" s="7"/>
      <c r="AC36" s="7"/>
      <c r="AD36" s="7"/>
      <c r="AE36" s="7"/>
      <c r="AF36" s="7"/>
      <c r="AG36" s="7"/>
      <c r="AH36" s="7"/>
      <c r="AI36" s="7"/>
      <c r="AJ36" s="7"/>
      <c r="AK36" s="7"/>
      <c r="AL36" s="7"/>
      <c r="AM36" s="7"/>
      <c r="AN36" s="3"/>
      <c r="AO36" s="3"/>
    </row>
    <row r="37" spans="1:41" s="1" customFormat="1" ht="15" customHeight="1">
      <c r="A37" s="1079" t="s">
        <v>601</v>
      </c>
      <c r="B37" s="1080"/>
      <c r="C37" s="1080"/>
      <c r="D37" s="1080"/>
      <c r="E37" s="1080"/>
      <c r="F37" s="1080"/>
      <c r="G37" s="1080"/>
      <c r="H37" s="1080"/>
      <c r="I37" s="1080"/>
      <c r="J37" s="1080"/>
      <c r="K37" s="1081"/>
      <c r="Q37" s="3"/>
      <c r="R37" s="3"/>
      <c r="S37" s="7"/>
      <c r="T37" s="7"/>
      <c r="U37" s="7" t="e">
        <f>#REF!-U40</f>
        <v>#REF!</v>
      </c>
      <c r="V37" s="7"/>
      <c r="W37" s="7"/>
      <c r="X37" s="7"/>
      <c r="Y37" s="7"/>
      <c r="Z37" s="7"/>
      <c r="AA37" s="7"/>
      <c r="AB37" s="7"/>
      <c r="AC37" s="7"/>
      <c r="AD37" s="7"/>
      <c r="AE37" s="7"/>
      <c r="AF37" s="7"/>
      <c r="AG37" s="7"/>
      <c r="AH37" s="7"/>
      <c r="AI37" s="7"/>
      <c r="AJ37" s="7"/>
      <c r="AK37" s="7"/>
      <c r="AL37" s="7"/>
      <c r="AM37" s="7"/>
      <c r="AN37" s="3"/>
      <c r="AO37" s="3"/>
    </row>
    <row r="38" spans="1:41" s="1" customFormat="1" ht="60">
      <c r="A38" s="269" t="s">
        <v>598</v>
      </c>
      <c r="B38" s="270" t="s">
        <v>587</v>
      </c>
      <c r="C38" s="270" t="s">
        <v>588</v>
      </c>
      <c r="D38" s="270" t="s">
        <v>589</v>
      </c>
      <c r="E38" s="270" t="s">
        <v>590</v>
      </c>
      <c r="F38" s="270" t="s">
        <v>589</v>
      </c>
      <c r="G38" s="270" t="s">
        <v>591</v>
      </c>
      <c r="H38" s="270" t="s">
        <v>589</v>
      </c>
      <c r="I38" s="270"/>
      <c r="J38" s="270" t="s">
        <v>592</v>
      </c>
      <c r="K38" s="270" t="s">
        <v>589</v>
      </c>
      <c r="Q38" s="13" t="e">
        <f>Q34-#REF!</f>
        <v>#REF!</v>
      </c>
      <c r="R38" s="3"/>
      <c r="S38" s="7"/>
      <c r="T38" s="7"/>
      <c r="U38" s="7"/>
      <c r="V38" s="7"/>
      <c r="W38" s="7"/>
      <c r="X38" s="7"/>
      <c r="Y38" s="7"/>
      <c r="Z38" s="7"/>
      <c r="AA38" s="7"/>
      <c r="AB38" s="7"/>
      <c r="AC38" s="7"/>
      <c r="AD38" s="7"/>
      <c r="AE38" s="7"/>
      <c r="AF38" s="7"/>
      <c r="AG38" s="7"/>
      <c r="AH38" s="7"/>
      <c r="AI38" s="7"/>
      <c r="AJ38" s="7"/>
      <c r="AK38" s="7"/>
      <c r="AL38" s="7"/>
      <c r="AM38" s="7"/>
      <c r="AN38" s="3"/>
      <c r="AO38" s="3"/>
    </row>
    <row r="39" spans="1:41" s="1" customFormat="1">
      <c r="A39" s="259" t="s">
        <v>599</v>
      </c>
      <c r="B39" s="259">
        <f>K11</f>
        <v>1</v>
      </c>
      <c r="C39" s="259">
        <f>V11</f>
        <v>0</v>
      </c>
      <c r="D39" s="266">
        <f>B39*C39/100</f>
        <v>0</v>
      </c>
      <c r="E39" s="259">
        <f>W11</f>
        <v>0</v>
      </c>
      <c r="F39" s="266">
        <f>B39*E39/100</f>
        <v>0</v>
      </c>
      <c r="G39" s="259">
        <f>X16</f>
        <v>0</v>
      </c>
      <c r="H39" s="266">
        <f>B39*G39/100</f>
        <v>0</v>
      </c>
      <c r="I39" s="260"/>
      <c r="J39" s="259">
        <f>Y11</f>
        <v>0</v>
      </c>
      <c r="K39" s="266">
        <f>B39*J39/100</f>
        <v>0</v>
      </c>
      <c r="Q39" s="3"/>
      <c r="R39" s="14" t="e">
        <f>U40-#REF!</f>
        <v>#REF!</v>
      </c>
      <c r="S39" s="7"/>
      <c r="T39" s="7"/>
      <c r="U39" s="7"/>
      <c r="V39" s="7"/>
      <c r="W39" s="7"/>
      <c r="X39" s="7"/>
      <c r="Y39" s="7"/>
      <c r="Z39" s="7"/>
      <c r="AA39" s="7"/>
      <c r="AB39" s="7"/>
      <c r="AC39" s="7"/>
      <c r="AD39" s="7"/>
      <c r="AE39" s="7"/>
      <c r="AF39" s="7"/>
      <c r="AG39" s="7"/>
      <c r="AH39" s="7"/>
      <c r="AI39" s="7"/>
      <c r="AJ39" s="7"/>
      <c r="AK39" s="7"/>
      <c r="AL39" s="7"/>
      <c r="AM39" s="7"/>
      <c r="AN39" s="3"/>
      <c r="AO39" s="3"/>
    </row>
    <row r="40" spans="1:41" s="1" customFormat="1" ht="23.25">
      <c r="A40" s="259" t="s">
        <v>18</v>
      </c>
      <c r="B40" s="259">
        <f>K12</f>
        <v>100</v>
      </c>
      <c r="C40" s="266">
        <f>V12</f>
        <v>14156648</v>
      </c>
      <c r="D40" s="266">
        <f>B40*C40/100</f>
        <v>14156648</v>
      </c>
      <c r="E40" s="266">
        <f>W12</f>
        <v>0</v>
      </c>
      <c r="F40" s="266">
        <f>B40*E40/100</f>
        <v>0</v>
      </c>
      <c r="G40" s="266">
        <f>X17</f>
        <v>0</v>
      </c>
      <c r="H40" s="266">
        <f>B40*G40/100</f>
        <v>0</v>
      </c>
      <c r="I40" s="260"/>
      <c r="J40" s="259">
        <f>Y12</f>
        <v>0</v>
      </c>
      <c r="K40" s="266">
        <f>B40*J40/100</f>
        <v>0</v>
      </c>
      <c r="Q40" s="3"/>
      <c r="R40" s="3"/>
      <c r="S40" s="7"/>
      <c r="T40" s="7"/>
      <c r="U40" s="12">
        <v>90692582257</v>
      </c>
      <c r="V40" s="245"/>
      <c r="W40" s="245"/>
      <c r="X40" s="245"/>
      <c r="Y40" s="245"/>
      <c r="Z40" s="245"/>
      <c r="AA40" s="245"/>
      <c r="AB40" s="245"/>
      <c r="AC40" s="245"/>
      <c r="AD40" s="245"/>
      <c r="AE40" s="245"/>
      <c r="AF40" s="245"/>
      <c r="AG40" s="245"/>
      <c r="AH40" s="245"/>
      <c r="AI40" s="245"/>
      <c r="AJ40" s="245"/>
      <c r="AK40" s="245"/>
      <c r="AL40" s="245"/>
      <c r="AM40" s="245"/>
      <c r="AN40" s="13" t="e">
        <f>U40-#REF!</f>
        <v>#REF!</v>
      </c>
      <c r="AO40" s="3"/>
    </row>
    <row r="41" spans="1:41" s="1" customFormat="1">
      <c r="A41" s="3"/>
      <c r="B41" s="3"/>
      <c r="C41" s="3"/>
      <c r="D41" s="3"/>
      <c r="E41" s="3"/>
      <c r="F41" s="3"/>
      <c r="G41" s="3"/>
      <c r="H41" s="3"/>
      <c r="J41" s="3"/>
      <c r="K41" s="3"/>
      <c r="Q41" s="3"/>
      <c r="R41" s="3"/>
      <c r="S41" s="7"/>
      <c r="T41" s="7"/>
      <c r="U41" s="7"/>
      <c r="V41" s="7"/>
      <c r="W41" s="7"/>
      <c r="X41" s="7"/>
      <c r="Y41" s="7"/>
      <c r="Z41" s="7"/>
      <c r="AA41" s="7"/>
      <c r="AB41" s="7"/>
      <c r="AC41" s="7"/>
      <c r="AD41" s="7"/>
      <c r="AE41" s="7"/>
      <c r="AF41" s="7"/>
      <c r="AG41" s="7"/>
      <c r="AH41" s="7"/>
      <c r="AI41" s="7"/>
      <c r="AJ41" s="7"/>
      <c r="AK41" s="7"/>
      <c r="AL41" s="7"/>
      <c r="AM41" s="7"/>
      <c r="AN41" s="3"/>
      <c r="AO41" s="3"/>
    </row>
    <row r="42" spans="1:41" s="1" customFormat="1" ht="15" customHeight="1">
      <c r="A42" s="1082" t="s">
        <v>602</v>
      </c>
      <c r="B42" s="1083"/>
      <c r="C42" s="1083"/>
      <c r="D42" s="1083"/>
      <c r="E42" s="1083"/>
      <c r="F42" s="1083"/>
      <c r="G42" s="1083"/>
      <c r="H42" s="1083"/>
      <c r="I42" s="1083"/>
      <c r="J42" s="1084"/>
      <c r="K42" s="3"/>
      <c r="Q42" s="13" t="e">
        <f>#REF!-Q34</f>
        <v>#REF!</v>
      </c>
      <c r="R42" s="3"/>
      <c r="S42" s="7"/>
      <c r="T42" s="7"/>
      <c r="U42" s="7"/>
      <c r="V42" s="7"/>
      <c r="W42" s="7"/>
      <c r="X42" s="7"/>
      <c r="Y42" s="7"/>
      <c r="Z42" s="7"/>
      <c r="AA42" s="7"/>
      <c r="AB42" s="7"/>
      <c r="AC42" s="7"/>
      <c r="AD42" s="7"/>
      <c r="AE42" s="7"/>
      <c r="AF42" s="7"/>
      <c r="AG42" s="7"/>
      <c r="AH42" s="7"/>
      <c r="AI42" s="7"/>
      <c r="AJ42" s="7"/>
      <c r="AK42" s="7"/>
      <c r="AL42" s="7"/>
      <c r="AM42" s="7"/>
      <c r="AN42" s="3"/>
      <c r="AO42" s="3"/>
    </row>
    <row r="43" spans="1:41" s="1" customFormat="1" ht="45">
      <c r="A43" s="267" t="s">
        <v>593</v>
      </c>
      <c r="B43" s="267" t="s">
        <v>594</v>
      </c>
      <c r="C43" s="267" t="s">
        <v>589</v>
      </c>
      <c r="D43" s="267" t="s">
        <v>595</v>
      </c>
      <c r="E43" s="267" t="s">
        <v>589</v>
      </c>
      <c r="F43" s="267" t="s">
        <v>596</v>
      </c>
      <c r="G43" s="267" t="s">
        <v>589</v>
      </c>
      <c r="H43" s="267" t="s">
        <v>597</v>
      </c>
      <c r="I43" s="268"/>
      <c r="J43" s="267" t="s">
        <v>589</v>
      </c>
      <c r="K43" s="3"/>
      <c r="Q43" s="3"/>
      <c r="R43" s="3"/>
      <c r="S43" s="7"/>
      <c r="T43" s="7"/>
      <c r="U43" s="7"/>
      <c r="V43" s="7"/>
      <c r="W43" s="7"/>
      <c r="X43" s="7"/>
      <c r="Y43" s="7"/>
      <c r="Z43" s="7"/>
      <c r="AA43" s="7"/>
      <c r="AB43" s="7"/>
      <c r="AC43" s="7"/>
      <c r="AD43" s="7"/>
      <c r="AE43" s="7"/>
      <c r="AF43" s="7"/>
      <c r="AG43" s="7"/>
      <c r="AH43" s="7"/>
      <c r="AI43" s="7"/>
      <c r="AJ43" s="7"/>
      <c r="AK43" s="7"/>
      <c r="AL43" s="7"/>
      <c r="AM43" s="7"/>
      <c r="AN43" s="3"/>
      <c r="AO43" s="3"/>
    </row>
    <row r="44" spans="1:41" s="1" customFormat="1">
      <c r="A44" s="263">
        <f>U11</f>
        <v>90341227.37184</v>
      </c>
      <c r="B44" s="263">
        <f>Z11</f>
        <v>19478824</v>
      </c>
      <c r="C44" s="266">
        <f>A44*B44/100</f>
        <v>17597408679200.539</v>
      </c>
      <c r="D44" s="263">
        <f>AA11</f>
        <v>7796610</v>
      </c>
      <c r="E44" s="266">
        <f>A44*D44/100</f>
        <v>7043553167395.6152</v>
      </c>
      <c r="F44" s="263">
        <f>AB11</f>
        <v>0</v>
      </c>
      <c r="G44" s="266">
        <f>A44*F44/100</f>
        <v>0</v>
      </c>
      <c r="H44" s="314">
        <f>AC11</f>
        <v>0</v>
      </c>
      <c r="I44" s="260"/>
      <c r="J44" s="266">
        <f>A44*H44/100</f>
        <v>0</v>
      </c>
      <c r="K44" s="3"/>
      <c r="Q44" s="3"/>
      <c r="R44" s="3"/>
      <c r="S44" s="7"/>
      <c r="T44" s="7"/>
      <c r="U44" s="7"/>
      <c r="V44" s="7"/>
      <c r="W44" s="7"/>
      <c r="X44" s="7"/>
      <c r="Y44" s="7"/>
      <c r="Z44" s="7"/>
      <c r="AA44" s="7"/>
      <c r="AB44" s="7"/>
      <c r="AC44" s="7"/>
      <c r="AD44" s="7"/>
      <c r="AE44" s="7"/>
      <c r="AF44" s="7"/>
      <c r="AG44" s="7"/>
      <c r="AH44" s="7"/>
      <c r="AI44" s="7"/>
      <c r="AJ44" s="7"/>
      <c r="AK44" s="7"/>
      <c r="AL44" s="7"/>
      <c r="AM44" s="7"/>
      <c r="AN44" s="3"/>
      <c r="AO44" s="3"/>
    </row>
    <row r="45" spans="1:41" s="1" customFormat="1">
      <c r="A45" s="259"/>
      <c r="B45" s="259"/>
      <c r="C45" s="259"/>
      <c r="D45" s="259"/>
      <c r="E45" s="259"/>
      <c r="F45" s="259"/>
      <c r="G45" s="259"/>
      <c r="H45" s="259"/>
      <c r="I45" s="260"/>
      <c r="J45" s="259"/>
      <c r="K45" s="3"/>
      <c r="Q45" s="3"/>
      <c r="R45" s="3"/>
      <c r="S45" s="7"/>
      <c r="T45" s="7"/>
      <c r="U45" s="7"/>
      <c r="V45" s="7"/>
      <c r="W45" s="7"/>
      <c r="X45" s="7"/>
      <c r="Y45" s="7"/>
      <c r="Z45" s="7"/>
      <c r="AA45" s="7"/>
      <c r="AB45" s="7"/>
      <c r="AC45" s="7"/>
      <c r="AD45" s="7"/>
      <c r="AE45" s="7"/>
      <c r="AF45" s="7"/>
      <c r="AG45" s="7"/>
      <c r="AH45" s="7"/>
      <c r="AI45" s="7"/>
      <c r="AJ45" s="7"/>
      <c r="AK45" s="7"/>
      <c r="AL45" s="7"/>
      <c r="AM45" s="7"/>
      <c r="AN45" s="3"/>
      <c r="AO45" s="3"/>
    </row>
    <row r="46" spans="1:41" s="1" customFormat="1">
      <c r="A46" s="3"/>
      <c r="B46" s="3"/>
      <c r="C46" s="3"/>
      <c r="D46" s="3"/>
      <c r="E46" s="3"/>
      <c r="F46" s="3"/>
      <c r="G46" s="3"/>
      <c r="H46" s="3"/>
      <c r="J46" s="3"/>
      <c r="K46" s="3"/>
      <c r="Q46" s="3"/>
      <c r="R46" s="3"/>
      <c r="S46" s="7"/>
      <c r="T46" s="7"/>
      <c r="U46" s="7"/>
      <c r="V46" s="7"/>
      <c r="W46" s="7"/>
      <c r="X46" s="7"/>
      <c r="Y46" s="7"/>
      <c r="Z46" s="7"/>
      <c r="AA46" s="7"/>
      <c r="AB46" s="7"/>
      <c r="AC46" s="7"/>
      <c r="AD46" s="7"/>
      <c r="AE46" s="7"/>
      <c r="AF46" s="7"/>
      <c r="AG46" s="7"/>
      <c r="AH46" s="7"/>
      <c r="AI46" s="7"/>
      <c r="AJ46" s="7"/>
      <c r="AK46" s="7"/>
      <c r="AL46" s="7"/>
      <c r="AM46" s="7"/>
      <c r="AN46" s="3"/>
      <c r="AO46" s="3"/>
    </row>
    <row r="47" spans="1:41" s="1" customFormat="1" ht="15" customHeight="1">
      <c r="A47" s="1079" t="s">
        <v>603</v>
      </c>
      <c r="B47" s="1080"/>
      <c r="C47" s="1080"/>
      <c r="D47" s="1080"/>
      <c r="E47" s="1080"/>
      <c r="F47" s="1080"/>
      <c r="G47" s="1080"/>
      <c r="H47" s="1080"/>
      <c r="I47" s="1080"/>
      <c r="J47" s="1080"/>
      <c r="K47" s="1081"/>
      <c r="Q47" s="3"/>
      <c r="R47" s="3"/>
      <c r="S47" s="7"/>
      <c r="T47" s="7"/>
      <c r="U47" s="7"/>
      <c r="V47" s="7"/>
      <c r="W47" s="7"/>
      <c r="X47" s="7"/>
      <c r="Y47" s="7"/>
      <c r="Z47" s="7"/>
      <c r="AA47" s="7"/>
      <c r="AB47" s="7"/>
      <c r="AC47" s="7"/>
      <c r="AD47" s="7"/>
      <c r="AE47" s="7"/>
      <c r="AF47" s="7"/>
      <c r="AG47" s="7"/>
      <c r="AH47" s="7"/>
      <c r="AI47" s="7"/>
      <c r="AJ47" s="7"/>
      <c r="AK47" s="7"/>
      <c r="AL47" s="7"/>
      <c r="AM47" s="7"/>
      <c r="AN47" s="3"/>
      <c r="AO47" s="3"/>
    </row>
    <row r="48" spans="1:41" s="1" customFormat="1" ht="60">
      <c r="A48" s="269" t="s">
        <v>598</v>
      </c>
      <c r="B48" s="270" t="s">
        <v>587</v>
      </c>
      <c r="C48" s="270" t="s">
        <v>588</v>
      </c>
      <c r="D48" s="270" t="s">
        <v>589</v>
      </c>
      <c r="E48" s="270" t="s">
        <v>590</v>
      </c>
      <c r="F48" s="270" t="s">
        <v>589</v>
      </c>
      <c r="G48" s="270" t="s">
        <v>591</v>
      </c>
      <c r="H48" s="270" t="s">
        <v>589</v>
      </c>
      <c r="I48" s="270"/>
      <c r="J48" s="270" t="s">
        <v>592</v>
      </c>
      <c r="K48" s="270" t="s">
        <v>589</v>
      </c>
      <c r="Q48" s="3"/>
      <c r="R48" s="3"/>
      <c r="S48" s="7"/>
      <c r="T48" s="7"/>
      <c r="U48" s="7"/>
      <c r="V48" s="7"/>
      <c r="W48" s="7"/>
      <c r="X48" s="7"/>
      <c r="Y48" s="7"/>
      <c r="Z48" s="7"/>
      <c r="AA48" s="7"/>
      <c r="AB48" s="7"/>
      <c r="AC48" s="7"/>
      <c r="AD48" s="7"/>
      <c r="AE48" s="7"/>
      <c r="AF48" s="7"/>
      <c r="AG48" s="7"/>
      <c r="AH48" s="7"/>
      <c r="AI48" s="7"/>
      <c r="AJ48" s="7"/>
      <c r="AK48" s="7"/>
      <c r="AL48" s="7"/>
      <c r="AM48" s="7"/>
      <c r="AN48" s="3"/>
      <c r="AO48" s="3"/>
    </row>
    <row r="49" spans="1:41" s="1" customFormat="1">
      <c r="A49" s="259" t="s">
        <v>599</v>
      </c>
      <c r="B49" s="259">
        <f>K16</f>
        <v>2</v>
      </c>
      <c r="C49" s="259">
        <f>V16</f>
        <v>14165648</v>
      </c>
      <c r="D49" s="266">
        <f>B49*C49/100</f>
        <v>283312.96000000002</v>
      </c>
      <c r="E49" s="259">
        <f>W16</f>
        <v>0</v>
      </c>
      <c r="F49" s="266">
        <f>B49*E49/100</f>
        <v>0</v>
      </c>
      <c r="G49" s="259">
        <f>X16</f>
        <v>0</v>
      </c>
      <c r="H49" s="266">
        <f>B49*G49/100</f>
        <v>0</v>
      </c>
      <c r="I49" s="260"/>
      <c r="J49" s="259">
        <f>Y16</f>
        <v>0</v>
      </c>
      <c r="K49" s="266">
        <f>B49*J49/100</f>
        <v>0</v>
      </c>
      <c r="Q49" s="3"/>
      <c r="R49" s="3"/>
      <c r="S49" s="7"/>
      <c r="T49" s="7"/>
      <c r="U49" s="7"/>
      <c r="V49" s="7"/>
      <c r="W49" s="7"/>
      <c r="X49" s="7"/>
      <c r="Y49" s="7"/>
      <c r="Z49" s="7"/>
      <c r="AA49" s="7"/>
      <c r="AB49" s="7"/>
      <c r="AC49" s="7"/>
      <c r="AD49" s="7"/>
      <c r="AE49" s="7"/>
      <c r="AF49" s="7"/>
      <c r="AG49" s="7"/>
      <c r="AH49" s="7"/>
      <c r="AI49" s="7"/>
      <c r="AJ49" s="7"/>
      <c r="AK49" s="7"/>
      <c r="AL49" s="7"/>
      <c r="AM49" s="7"/>
      <c r="AN49" s="3"/>
      <c r="AO49" s="3"/>
    </row>
    <row r="50" spans="1:41" s="1" customFormat="1">
      <c r="A50" s="259" t="s">
        <v>18</v>
      </c>
      <c r="B50" s="259">
        <f>K17</f>
        <v>100</v>
      </c>
      <c r="C50" s="266">
        <f>V17</f>
        <v>14165649</v>
      </c>
      <c r="D50" s="266">
        <f>B50*C50/100</f>
        <v>14165649</v>
      </c>
      <c r="E50" s="266">
        <f>W17</f>
        <v>0</v>
      </c>
      <c r="F50" s="266">
        <f>B50*E50/100</f>
        <v>0</v>
      </c>
      <c r="G50" s="266">
        <f>X17</f>
        <v>0</v>
      </c>
      <c r="H50" s="266">
        <f>B50*G50/100</f>
        <v>0</v>
      </c>
      <c r="I50" s="260"/>
      <c r="J50" s="266">
        <f>Y17</f>
        <v>0</v>
      </c>
      <c r="K50" s="266">
        <f>B50*J50/100</f>
        <v>0</v>
      </c>
      <c r="Q50" s="3"/>
      <c r="R50" s="3"/>
      <c r="S50" s="7"/>
      <c r="T50" s="7"/>
      <c r="U50" s="7"/>
      <c r="V50" s="7"/>
      <c r="W50" s="7"/>
      <c r="X50" s="7"/>
      <c r="Y50" s="7"/>
      <c r="Z50" s="7"/>
      <c r="AA50" s="7"/>
      <c r="AB50" s="7"/>
      <c r="AC50" s="7"/>
      <c r="AD50" s="7"/>
      <c r="AE50" s="7"/>
      <c r="AF50" s="7"/>
      <c r="AG50" s="7"/>
      <c r="AH50" s="7"/>
      <c r="AI50" s="7"/>
      <c r="AJ50" s="7"/>
      <c r="AK50" s="7"/>
      <c r="AL50" s="7"/>
      <c r="AM50" s="7"/>
      <c r="AN50" s="3"/>
      <c r="AO50" s="3"/>
    </row>
    <row r="51" spans="1:41" s="1" customFormat="1">
      <c r="A51" s="3"/>
      <c r="B51" s="3"/>
      <c r="C51" s="3"/>
      <c r="D51" s="3"/>
      <c r="E51" s="3"/>
      <c r="F51" s="3"/>
      <c r="G51" s="3"/>
      <c r="H51" s="3"/>
      <c r="J51" s="3"/>
      <c r="K51" s="3"/>
      <c r="Q51" s="3"/>
      <c r="R51" s="3"/>
      <c r="S51" s="7"/>
      <c r="T51" s="7"/>
      <c r="U51" s="7"/>
      <c r="V51" s="7"/>
      <c r="W51" s="7"/>
      <c r="X51" s="7"/>
      <c r="Y51" s="7"/>
      <c r="Z51" s="7"/>
      <c r="AA51" s="7"/>
      <c r="AB51" s="7"/>
      <c r="AC51" s="7"/>
      <c r="AD51" s="7"/>
      <c r="AE51" s="7"/>
      <c r="AF51" s="7"/>
      <c r="AG51" s="7"/>
      <c r="AH51" s="7"/>
      <c r="AI51" s="7"/>
      <c r="AJ51" s="7"/>
      <c r="AK51" s="7"/>
      <c r="AL51" s="7"/>
      <c r="AM51" s="7"/>
      <c r="AN51" s="3"/>
      <c r="AO51" s="3"/>
    </row>
    <row r="52" spans="1:41" s="1" customFormat="1" ht="15" customHeight="1">
      <c r="A52" s="1082" t="s">
        <v>604</v>
      </c>
      <c r="B52" s="1083"/>
      <c r="C52" s="1083"/>
      <c r="D52" s="1083"/>
      <c r="E52" s="1083"/>
      <c r="F52" s="1083"/>
      <c r="G52" s="1083"/>
      <c r="H52" s="1083"/>
      <c r="I52" s="1083"/>
      <c r="J52" s="1084"/>
      <c r="K52" s="3"/>
      <c r="Q52" s="3"/>
      <c r="R52" s="3"/>
      <c r="S52" s="7"/>
      <c r="T52" s="7"/>
      <c r="U52" s="7"/>
      <c r="V52" s="7"/>
      <c r="W52" s="7"/>
      <c r="X52" s="7"/>
      <c r="Y52" s="7"/>
      <c r="Z52" s="7"/>
      <c r="AA52" s="7"/>
      <c r="AB52" s="7"/>
      <c r="AC52" s="7"/>
      <c r="AD52" s="7"/>
      <c r="AE52" s="7"/>
      <c r="AF52" s="7"/>
      <c r="AG52" s="7"/>
      <c r="AH52" s="7"/>
      <c r="AI52" s="7"/>
      <c r="AJ52" s="7"/>
      <c r="AK52" s="7"/>
      <c r="AL52" s="7"/>
      <c r="AM52" s="7"/>
      <c r="AN52" s="3"/>
      <c r="AO52" s="3"/>
    </row>
    <row r="53" spans="1:41" s="1" customFormat="1" ht="45">
      <c r="A53" s="267" t="s">
        <v>593</v>
      </c>
      <c r="B53" s="267" t="s">
        <v>594</v>
      </c>
      <c r="C53" s="267" t="s">
        <v>589</v>
      </c>
      <c r="D53" s="267" t="s">
        <v>595</v>
      </c>
      <c r="E53" s="267" t="s">
        <v>589</v>
      </c>
      <c r="F53" s="267" t="s">
        <v>596</v>
      </c>
      <c r="G53" s="267" t="s">
        <v>589</v>
      </c>
      <c r="H53" s="267" t="s">
        <v>597</v>
      </c>
      <c r="I53" s="268"/>
      <c r="J53" s="267" t="s">
        <v>589</v>
      </c>
      <c r="K53" s="3"/>
      <c r="Q53" s="3"/>
      <c r="R53" s="3"/>
      <c r="S53" s="7"/>
      <c r="T53" s="7"/>
      <c r="U53" s="7"/>
      <c r="V53" s="7"/>
      <c r="W53" s="7"/>
      <c r="X53" s="7"/>
      <c r="Y53" s="7"/>
      <c r="Z53" s="7"/>
      <c r="AA53" s="7"/>
      <c r="AB53" s="7"/>
      <c r="AC53" s="7"/>
      <c r="AD53" s="7"/>
      <c r="AE53" s="7"/>
      <c r="AF53" s="7"/>
      <c r="AG53" s="7"/>
      <c r="AH53" s="7"/>
      <c r="AI53" s="7"/>
      <c r="AJ53" s="7"/>
      <c r="AK53" s="7"/>
      <c r="AL53" s="7"/>
      <c r="AM53" s="7"/>
      <c r="AN53" s="3"/>
      <c r="AO53" s="3"/>
    </row>
    <row r="54" spans="1:41" s="1" customFormat="1" ht="15">
      <c r="A54" s="272">
        <f>U16</f>
        <v>180682454.74368</v>
      </c>
      <c r="B54" s="272">
        <f>Z16</f>
        <v>19478824</v>
      </c>
      <c r="C54" s="311">
        <f>A54*B54/100</f>
        <v>35194817358401.078</v>
      </c>
      <c r="D54" s="272">
        <f>AA16</f>
        <v>15593223</v>
      </c>
      <c r="E54" s="312">
        <f>A54*D54/100</f>
        <v>28174218090056.102</v>
      </c>
      <c r="F54" s="272">
        <f>AB16</f>
        <v>0</v>
      </c>
      <c r="G54" s="312">
        <f>A54*F54/100</f>
        <v>0</v>
      </c>
      <c r="H54" s="272">
        <f>AC16</f>
        <v>0</v>
      </c>
      <c r="I54" s="273"/>
      <c r="J54" s="312">
        <f>A54*H54/100</f>
        <v>0</v>
      </c>
      <c r="K54" s="3"/>
      <c r="Q54" s="3"/>
      <c r="R54" s="3"/>
      <c r="S54" s="7"/>
      <c r="T54" s="7"/>
      <c r="U54" s="7"/>
      <c r="V54" s="7"/>
      <c r="W54" s="7"/>
      <c r="X54" s="7"/>
      <c r="Y54" s="7"/>
      <c r="Z54" s="7"/>
      <c r="AA54" s="7"/>
      <c r="AB54" s="7"/>
      <c r="AC54" s="7"/>
      <c r="AD54" s="7"/>
      <c r="AE54" s="7"/>
      <c r="AF54" s="7"/>
      <c r="AG54" s="7"/>
      <c r="AH54" s="7"/>
      <c r="AI54" s="7"/>
      <c r="AJ54" s="7"/>
      <c r="AK54" s="7"/>
      <c r="AL54" s="7"/>
      <c r="AM54" s="7"/>
      <c r="AN54" s="3"/>
      <c r="AO54" s="3"/>
    </row>
    <row r="55" spans="1:41" s="1" customFormat="1">
      <c r="A55" s="259"/>
      <c r="B55" s="259"/>
      <c r="C55" s="259"/>
      <c r="D55" s="259"/>
      <c r="E55" s="259"/>
      <c r="F55" s="259"/>
      <c r="G55" s="259"/>
      <c r="H55" s="259"/>
      <c r="I55" s="260"/>
      <c r="J55" s="259"/>
      <c r="K55" s="3"/>
      <c r="Q55" s="3"/>
      <c r="R55" s="3"/>
      <c r="S55" s="7"/>
      <c r="T55" s="7"/>
      <c r="U55" s="7"/>
      <c r="V55" s="7"/>
      <c r="W55" s="7"/>
      <c r="X55" s="7"/>
      <c r="Y55" s="7"/>
      <c r="Z55" s="7"/>
      <c r="AA55" s="7"/>
      <c r="AB55" s="7"/>
      <c r="AC55" s="7"/>
      <c r="AD55" s="7"/>
      <c r="AE55" s="7"/>
      <c r="AF55" s="7"/>
      <c r="AG55" s="7"/>
      <c r="AH55" s="7"/>
      <c r="AI55" s="7"/>
      <c r="AJ55" s="7"/>
      <c r="AK55" s="7"/>
      <c r="AL55" s="7"/>
      <c r="AM55" s="7"/>
      <c r="AN55" s="3"/>
      <c r="AO55" s="3"/>
    </row>
    <row r="56" spans="1:41" s="1" customFormat="1">
      <c r="A56" s="3"/>
      <c r="B56" s="3"/>
      <c r="C56" s="3"/>
      <c r="D56" s="3"/>
      <c r="I56" s="5"/>
      <c r="J56" s="3"/>
      <c r="K56" s="3"/>
      <c r="Q56" s="3"/>
      <c r="R56" s="3"/>
      <c r="S56" s="7"/>
      <c r="T56" s="7"/>
      <c r="U56" s="7"/>
      <c r="V56" s="7"/>
      <c r="W56" s="7"/>
      <c r="X56" s="7"/>
      <c r="Y56" s="7"/>
      <c r="Z56" s="7"/>
      <c r="AA56" s="7"/>
      <c r="AB56" s="7"/>
      <c r="AC56" s="7"/>
      <c r="AD56" s="7"/>
      <c r="AE56" s="7"/>
      <c r="AF56" s="7"/>
      <c r="AG56" s="7"/>
      <c r="AH56" s="7"/>
      <c r="AI56" s="7"/>
      <c r="AJ56" s="7"/>
      <c r="AK56" s="7"/>
      <c r="AL56" s="7"/>
      <c r="AM56" s="7"/>
      <c r="AN56" s="3"/>
      <c r="AO56" s="3"/>
    </row>
    <row r="57" spans="1:41" s="1" customFormat="1">
      <c r="A57" s="3"/>
      <c r="B57" s="3"/>
      <c r="C57" s="3"/>
      <c r="D57" s="3"/>
      <c r="I57" s="5"/>
      <c r="J57" s="3"/>
      <c r="K57" s="3"/>
      <c r="Q57" s="3"/>
      <c r="R57" s="3"/>
      <c r="S57" s="7"/>
      <c r="T57" s="7"/>
      <c r="U57" s="7"/>
      <c r="V57" s="7"/>
      <c r="W57" s="7"/>
      <c r="X57" s="7"/>
      <c r="Y57" s="7"/>
      <c r="Z57" s="7"/>
      <c r="AA57" s="7"/>
      <c r="AB57" s="7"/>
      <c r="AC57" s="7"/>
      <c r="AD57" s="7"/>
      <c r="AE57" s="7"/>
      <c r="AF57" s="7"/>
      <c r="AG57" s="7"/>
      <c r="AH57" s="7"/>
      <c r="AI57" s="7"/>
      <c r="AJ57" s="7"/>
      <c r="AK57" s="7"/>
      <c r="AL57" s="7"/>
      <c r="AM57" s="7"/>
      <c r="AN57" s="3"/>
      <c r="AO57" s="3"/>
    </row>
    <row r="58" spans="1:41">
      <c r="I58" s="1"/>
      <c r="J58" s="3"/>
    </row>
    <row r="59" spans="1:41" ht="15" customHeight="1">
      <c r="A59" s="1079" t="s">
        <v>605</v>
      </c>
      <c r="B59" s="1080"/>
      <c r="C59" s="1080"/>
      <c r="D59" s="1080"/>
      <c r="E59" s="1080"/>
      <c r="F59" s="1080"/>
      <c r="G59" s="1080"/>
      <c r="H59" s="1080"/>
      <c r="I59" s="1080"/>
      <c r="J59" s="1080"/>
      <c r="K59" s="1081"/>
    </row>
    <row r="60" spans="1:41" ht="60">
      <c r="A60" s="269" t="s">
        <v>598</v>
      </c>
      <c r="B60" s="270" t="s">
        <v>587</v>
      </c>
      <c r="C60" s="270" t="s">
        <v>588</v>
      </c>
      <c r="D60" s="270" t="s">
        <v>589</v>
      </c>
      <c r="E60" s="270" t="s">
        <v>590</v>
      </c>
      <c r="F60" s="270" t="s">
        <v>589</v>
      </c>
      <c r="G60" s="270" t="s">
        <v>591</v>
      </c>
      <c r="H60" s="270" t="s">
        <v>589</v>
      </c>
      <c r="I60" s="270"/>
      <c r="J60" s="270" t="s">
        <v>592</v>
      </c>
      <c r="K60" s="270" t="s">
        <v>589</v>
      </c>
    </row>
    <row r="61" spans="1:41">
      <c r="A61" s="259" t="s">
        <v>599</v>
      </c>
      <c r="B61" s="259">
        <f>K23</f>
        <v>1</v>
      </c>
      <c r="C61" s="259">
        <f>V23</f>
        <v>14400000</v>
      </c>
      <c r="D61" s="266">
        <f>B61*C61/100</f>
        <v>144000</v>
      </c>
      <c r="E61" s="259">
        <f>W23</f>
        <v>17500000</v>
      </c>
      <c r="F61" s="266">
        <f>B61*E61/100</f>
        <v>175000</v>
      </c>
      <c r="G61" s="259">
        <f>X23</f>
        <v>0</v>
      </c>
      <c r="H61" s="266">
        <f>B61*G61/100</f>
        <v>0</v>
      </c>
      <c r="I61" s="260"/>
      <c r="J61" s="259">
        <f>Y23</f>
        <v>0</v>
      </c>
      <c r="K61" s="266">
        <f>B61*J61/100</f>
        <v>0</v>
      </c>
    </row>
    <row r="62" spans="1:41">
      <c r="A62" s="259" t="s">
        <v>18</v>
      </c>
      <c r="B62" s="259">
        <f>K24</f>
        <v>100</v>
      </c>
      <c r="C62" s="266">
        <f t="shared" ref="C62:C63" si="18">V24</f>
        <v>203587445</v>
      </c>
      <c r="D62" s="266">
        <f t="shared" ref="D62:D63" si="19">B62*C62/100</f>
        <v>203587445</v>
      </c>
      <c r="E62" s="266">
        <f t="shared" ref="E62:E63" si="20">W24</f>
        <v>813163649</v>
      </c>
      <c r="F62" s="266">
        <f t="shared" ref="F62:F63" si="21">B62*E62/100</f>
        <v>813163649</v>
      </c>
      <c r="G62" s="266">
        <f t="shared" ref="G62:G63" si="22">X24</f>
        <v>0</v>
      </c>
      <c r="H62" s="266">
        <f t="shared" ref="H62:H63" si="23">B62*G62/100</f>
        <v>0</v>
      </c>
      <c r="I62" s="260"/>
      <c r="J62" s="266">
        <f t="shared" ref="J62:J63" si="24">Y24</f>
        <v>0</v>
      </c>
      <c r="K62" s="266">
        <f>B62*J62/100</f>
        <v>0</v>
      </c>
    </row>
    <row r="63" spans="1:41">
      <c r="A63" s="259" t="s">
        <v>86</v>
      </c>
      <c r="B63" s="259">
        <f>K25</f>
        <v>32</v>
      </c>
      <c r="C63" s="259">
        <f t="shared" si="18"/>
        <v>0</v>
      </c>
      <c r="D63" s="266">
        <f t="shared" si="19"/>
        <v>0</v>
      </c>
      <c r="E63" s="259">
        <f t="shared" si="20"/>
        <v>9639442</v>
      </c>
      <c r="F63" s="266">
        <f t="shared" si="21"/>
        <v>3084621.44</v>
      </c>
      <c r="G63" s="259">
        <f t="shared" si="22"/>
        <v>0</v>
      </c>
      <c r="H63" s="266">
        <f t="shared" si="23"/>
        <v>0</v>
      </c>
      <c r="I63" s="260"/>
      <c r="J63" s="259">
        <f t="shared" si="24"/>
        <v>0</v>
      </c>
      <c r="K63" s="266">
        <f>B63*J63/100</f>
        <v>0</v>
      </c>
    </row>
    <row r="64" spans="1:41">
      <c r="I64" s="1"/>
      <c r="J64" s="3"/>
    </row>
    <row r="65" spans="1:11" ht="15" customHeight="1">
      <c r="A65" s="1082" t="s">
        <v>606</v>
      </c>
      <c r="B65" s="1083"/>
      <c r="C65" s="1083"/>
      <c r="D65" s="1083"/>
      <c r="E65" s="1083"/>
      <c r="F65" s="1083"/>
      <c r="G65" s="1083"/>
      <c r="H65" s="1083"/>
      <c r="I65" s="1083"/>
      <c r="J65" s="1084"/>
    </row>
    <row r="66" spans="1:11" ht="45">
      <c r="A66" s="267" t="s">
        <v>593</v>
      </c>
      <c r="B66" s="267" t="s">
        <v>594</v>
      </c>
      <c r="C66" s="267" t="s">
        <v>589</v>
      </c>
      <c r="D66" s="267" t="s">
        <v>595</v>
      </c>
      <c r="E66" s="267" t="s">
        <v>589</v>
      </c>
      <c r="F66" s="267" t="s">
        <v>596</v>
      </c>
      <c r="G66" s="267" t="s">
        <v>589</v>
      </c>
      <c r="H66" s="267" t="s">
        <v>597</v>
      </c>
      <c r="I66" s="268"/>
      <c r="J66" s="267" t="s">
        <v>589</v>
      </c>
    </row>
    <row r="67" spans="1:11">
      <c r="A67" s="263">
        <f>U23</f>
        <v>1762218738.5</v>
      </c>
      <c r="B67" s="263">
        <f>Z23</f>
        <v>886457194</v>
      </c>
      <c r="C67" s="266">
        <f>A67*B67/100</f>
        <v>1.5621314781449298E+16</v>
      </c>
      <c r="D67" s="263">
        <f>AA23</f>
        <v>840303091</v>
      </c>
      <c r="E67" s="266">
        <f>A67*D67/100</f>
        <v>1.4807978529796708E+16</v>
      </c>
      <c r="F67" s="263">
        <f>AB23</f>
        <v>0</v>
      </c>
      <c r="G67" s="266">
        <f>A67*F67/100</f>
        <v>0</v>
      </c>
      <c r="H67" s="263">
        <f>AC23</f>
        <v>0</v>
      </c>
      <c r="I67" s="260"/>
      <c r="J67" s="266">
        <f>A67*H67/100</f>
        <v>0</v>
      </c>
    </row>
    <row r="68" spans="1:11">
      <c r="A68" s="259"/>
      <c r="B68" s="259"/>
      <c r="C68" s="259"/>
      <c r="D68" s="259"/>
      <c r="E68" s="259"/>
      <c r="F68" s="259"/>
      <c r="G68" s="259"/>
      <c r="H68" s="259"/>
      <c r="I68" s="260"/>
      <c r="J68" s="259"/>
    </row>
    <row r="69" spans="1:11">
      <c r="E69" s="2"/>
      <c r="F69" s="2"/>
      <c r="G69" s="2"/>
      <c r="H69" s="2"/>
      <c r="I69" s="5"/>
      <c r="J69" s="3"/>
    </row>
    <row r="70" spans="1:11">
      <c r="E70" s="2"/>
      <c r="F70" s="2"/>
      <c r="G70" s="2"/>
      <c r="H70" s="2"/>
      <c r="I70" s="5"/>
      <c r="J70" s="3"/>
    </row>
    <row r="71" spans="1:11">
      <c r="I71" s="1"/>
      <c r="J71" s="3"/>
    </row>
    <row r="72" spans="1:11" ht="15" customHeight="1">
      <c r="A72" s="1079" t="s">
        <v>625</v>
      </c>
      <c r="B72" s="1080"/>
      <c r="C72" s="1080"/>
      <c r="D72" s="1080"/>
      <c r="E72" s="1080"/>
      <c r="F72" s="1080"/>
      <c r="G72" s="1080"/>
      <c r="H72" s="1080"/>
      <c r="I72" s="1080"/>
      <c r="J72" s="1080"/>
      <c r="K72" s="1081"/>
    </row>
    <row r="73" spans="1:11" ht="60">
      <c r="A73" s="269" t="s">
        <v>598</v>
      </c>
      <c r="B73" s="270" t="s">
        <v>587</v>
      </c>
      <c r="C73" s="270" t="s">
        <v>588</v>
      </c>
      <c r="D73" s="270" t="s">
        <v>589</v>
      </c>
      <c r="E73" s="270" t="s">
        <v>590</v>
      </c>
      <c r="F73" s="270" t="s">
        <v>589</v>
      </c>
      <c r="G73" s="270" t="s">
        <v>591</v>
      </c>
      <c r="H73" s="270" t="s">
        <v>589</v>
      </c>
      <c r="I73" s="270"/>
      <c r="J73" s="270" t="s">
        <v>592</v>
      </c>
      <c r="K73" s="270" t="s">
        <v>589</v>
      </c>
    </row>
    <row r="74" spans="1:11" ht="14.25" customHeight="1">
      <c r="A74" s="259" t="s">
        <v>599</v>
      </c>
      <c r="B74" s="259">
        <f>K32</f>
        <v>2</v>
      </c>
      <c r="C74" s="259">
        <f>V32</f>
        <v>0</v>
      </c>
      <c r="D74" s="266">
        <f>B74*C74/100</f>
        <v>0</v>
      </c>
      <c r="E74" s="259">
        <f>W32</f>
        <v>147148509</v>
      </c>
      <c r="F74" s="266">
        <f>B74*E74/100</f>
        <v>2942970.18</v>
      </c>
      <c r="G74" s="259">
        <f>X32</f>
        <v>0</v>
      </c>
      <c r="H74" s="266">
        <f>B74*G74/100</f>
        <v>0</v>
      </c>
      <c r="I74" s="260"/>
      <c r="J74" s="259">
        <f>Y32</f>
        <v>0</v>
      </c>
      <c r="K74" s="266">
        <f>B74*J74/100</f>
        <v>0</v>
      </c>
    </row>
    <row r="75" spans="1:11">
      <c r="A75" s="259" t="s">
        <v>18</v>
      </c>
      <c r="B75" s="259">
        <f>K33</f>
        <v>100</v>
      </c>
      <c r="C75" s="266">
        <f>V33</f>
        <v>219856003</v>
      </c>
      <c r="D75" s="266">
        <f>B75*C75/100</f>
        <v>219856003</v>
      </c>
      <c r="E75" s="266">
        <f>W33</f>
        <v>676266801</v>
      </c>
      <c r="F75" s="266">
        <f>B75*E75/100</f>
        <v>676266801</v>
      </c>
      <c r="G75" s="266">
        <f>X33</f>
        <v>0</v>
      </c>
      <c r="H75" s="266">
        <f>B75*G75/100</f>
        <v>0</v>
      </c>
      <c r="I75" s="260"/>
      <c r="J75" s="266">
        <f>Y33</f>
        <v>0</v>
      </c>
      <c r="K75" s="266">
        <f>B75*J75/100</f>
        <v>0</v>
      </c>
    </row>
    <row r="76" spans="1:11">
      <c r="I76" s="1"/>
      <c r="J76" s="3"/>
    </row>
    <row r="77" spans="1:11" ht="15" customHeight="1">
      <c r="A77" s="1082" t="s">
        <v>626</v>
      </c>
      <c r="B77" s="1083"/>
      <c r="C77" s="1083"/>
      <c r="D77" s="1083"/>
      <c r="E77" s="1083"/>
      <c r="F77" s="1083"/>
      <c r="G77" s="1083"/>
      <c r="H77" s="1083"/>
      <c r="I77" s="1083"/>
      <c r="J77" s="1084"/>
    </row>
    <row r="78" spans="1:11" ht="45">
      <c r="A78" s="267" t="s">
        <v>593</v>
      </c>
      <c r="B78" s="267" t="s">
        <v>594</v>
      </c>
      <c r="C78" s="267" t="s">
        <v>589</v>
      </c>
      <c r="D78" s="267" t="s">
        <v>595</v>
      </c>
      <c r="E78" s="267" t="s">
        <v>589</v>
      </c>
      <c r="F78" s="267" t="s">
        <v>596</v>
      </c>
      <c r="G78" s="267" t="s">
        <v>589</v>
      </c>
      <c r="H78" s="267" t="s">
        <v>597</v>
      </c>
      <c r="I78" s="268"/>
      <c r="J78" s="267" t="s">
        <v>589</v>
      </c>
    </row>
    <row r="79" spans="1:11">
      <c r="A79" s="263">
        <f>U32</f>
        <v>3599115337</v>
      </c>
      <c r="B79" s="263">
        <f>Z32</f>
        <v>273845134</v>
      </c>
      <c r="C79" s="266">
        <f>A79*B79/100</f>
        <v>9856002217422202</v>
      </c>
      <c r="D79" s="263">
        <f>AA32</f>
        <v>823415310</v>
      </c>
      <c r="E79" s="266">
        <f>A79*D79/100</f>
        <v>2.9635666709416096E+16</v>
      </c>
      <c r="F79" s="263">
        <f>AB32</f>
        <v>0</v>
      </c>
      <c r="G79" s="266">
        <f>A79*F79/100</f>
        <v>0</v>
      </c>
      <c r="H79" s="263">
        <f>AC32</f>
        <v>0</v>
      </c>
      <c r="I79" s="260"/>
      <c r="J79" s="266">
        <f>A79*H79/100</f>
        <v>0</v>
      </c>
    </row>
    <row r="80" spans="1:11">
      <c r="A80" s="259"/>
      <c r="B80" s="259"/>
      <c r="C80" s="259"/>
      <c r="D80" s="259"/>
      <c r="E80" s="259"/>
      <c r="F80" s="259"/>
      <c r="G80" s="259"/>
      <c r="H80" s="259"/>
      <c r="I80" s="260"/>
      <c r="J80" s="259"/>
    </row>
    <row r="81" spans="1:14">
      <c r="E81" s="2"/>
      <c r="F81" s="2"/>
      <c r="G81" s="2"/>
      <c r="H81" s="2"/>
      <c r="I81" s="5"/>
      <c r="J81" s="3"/>
    </row>
    <row r="82" spans="1:14">
      <c r="E82" s="2"/>
      <c r="F82" s="2"/>
      <c r="G82" s="2"/>
      <c r="H82" s="2"/>
      <c r="I82" s="5"/>
      <c r="J82" s="3"/>
    </row>
    <row r="83" spans="1:14" ht="15" customHeight="1">
      <c r="A83" s="1079" t="s">
        <v>627</v>
      </c>
      <c r="B83" s="1080"/>
      <c r="C83" s="1080"/>
      <c r="D83" s="1080"/>
      <c r="E83" s="1080"/>
      <c r="F83" s="1080"/>
      <c r="G83" s="1080"/>
      <c r="H83" s="1080"/>
      <c r="I83" s="1080"/>
      <c r="J83" s="1080"/>
      <c r="K83" s="1081"/>
    </row>
    <row r="84" spans="1:14" ht="60">
      <c r="A84" s="269" t="s">
        <v>598</v>
      </c>
      <c r="B84" s="270" t="s">
        <v>587</v>
      </c>
      <c r="C84" s="270" t="s">
        <v>588</v>
      </c>
      <c r="D84" s="270" t="s">
        <v>589</v>
      </c>
      <c r="E84" s="270" t="s">
        <v>590</v>
      </c>
      <c r="F84" s="270" t="s">
        <v>589</v>
      </c>
      <c r="G84" s="270" t="s">
        <v>591</v>
      </c>
      <c r="H84" s="270" t="s">
        <v>589</v>
      </c>
      <c r="I84" s="270"/>
      <c r="J84" s="270" t="s">
        <v>592</v>
      </c>
      <c r="K84" s="270" t="s">
        <v>589</v>
      </c>
    </row>
    <row r="85" spans="1:14">
      <c r="A85" s="259" t="s">
        <v>599</v>
      </c>
      <c r="B85" s="259">
        <f>B74+B61+B49+B39</f>
        <v>6</v>
      </c>
      <c r="C85" s="259">
        <f>C74+C61+C49+C39</f>
        <v>28565648</v>
      </c>
      <c r="D85" s="266">
        <f>B85*C85/100</f>
        <v>1713938.88</v>
      </c>
      <c r="E85" s="259">
        <f>E74+E61+E49+E39</f>
        <v>164648509</v>
      </c>
      <c r="F85" s="266">
        <f>B85*E85/100</f>
        <v>9878910.5399999991</v>
      </c>
      <c r="G85" s="259">
        <f>G74+G61+G49+G39</f>
        <v>0</v>
      </c>
      <c r="H85" s="266">
        <f>B85*G85/100</f>
        <v>0</v>
      </c>
      <c r="I85" s="260"/>
      <c r="J85" s="259">
        <f>J74+J61+J49+J39</f>
        <v>0</v>
      </c>
      <c r="K85" s="266">
        <f>B85*J85/100</f>
        <v>0</v>
      </c>
    </row>
    <row r="86" spans="1:14" ht="14.25" customHeight="1">
      <c r="A86" s="259" t="s">
        <v>18</v>
      </c>
      <c r="B86" s="266">
        <v>1</v>
      </c>
      <c r="C86" s="264">
        <f>C75+C62+C50+C40</f>
        <v>451765745</v>
      </c>
      <c r="D86" s="266">
        <f t="shared" ref="D86:D87" si="25">B86*C86/100</f>
        <v>4517657.45</v>
      </c>
      <c r="E86" s="264">
        <f>E75+E62+E50+E40</f>
        <v>1489430450</v>
      </c>
      <c r="F86" s="266">
        <f t="shared" ref="F86:F87" si="26">B86*E86/100</f>
        <v>14894304.5</v>
      </c>
      <c r="G86" s="266">
        <f t="shared" ref="G86:G87" si="27">G75+G62+G50+G40</f>
        <v>0</v>
      </c>
      <c r="H86" s="266">
        <f t="shared" ref="H86:H87" si="28">B86*G86/100</f>
        <v>0</v>
      </c>
      <c r="I86" s="260"/>
      <c r="J86" s="266">
        <f t="shared" ref="J86:J87" si="29">J75+J62+J50+J40</f>
        <v>0</v>
      </c>
      <c r="K86" s="266">
        <f>B86*J86/100</f>
        <v>0</v>
      </c>
    </row>
    <row r="87" spans="1:14" ht="14.25" customHeight="1">
      <c r="A87" s="259" t="s">
        <v>628</v>
      </c>
      <c r="B87" s="259">
        <f>B63</f>
        <v>32</v>
      </c>
      <c r="C87" s="259">
        <f>C63</f>
        <v>0</v>
      </c>
      <c r="D87" s="266">
        <f t="shared" si="25"/>
        <v>0</v>
      </c>
      <c r="E87" s="259">
        <f>E76+E63+E51+E41</f>
        <v>9639442</v>
      </c>
      <c r="F87" s="266">
        <f t="shared" si="26"/>
        <v>3084621.44</v>
      </c>
      <c r="G87" s="259">
        <f t="shared" si="27"/>
        <v>0</v>
      </c>
      <c r="H87" s="266">
        <f t="shared" si="28"/>
        <v>0</v>
      </c>
      <c r="I87" s="260"/>
      <c r="J87" s="259">
        <f t="shared" si="29"/>
        <v>0</v>
      </c>
      <c r="K87" s="266">
        <f>B87*J87/100</f>
        <v>0</v>
      </c>
    </row>
    <row r="88" spans="1:14">
      <c r="I88" s="1"/>
      <c r="J88" s="3"/>
    </row>
    <row r="89" spans="1:14" ht="15" customHeight="1">
      <c r="A89" s="1082" t="s">
        <v>629</v>
      </c>
      <c r="B89" s="1083"/>
      <c r="C89" s="1083"/>
      <c r="D89" s="1083"/>
      <c r="E89" s="1083"/>
      <c r="F89" s="1083"/>
      <c r="G89" s="1083"/>
      <c r="H89" s="1083"/>
      <c r="I89" s="1083"/>
      <c r="J89" s="1084"/>
    </row>
    <row r="90" spans="1:14" ht="45">
      <c r="A90" s="267" t="s">
        <v>593</v>
      </c>
      <c r="B90" s="267" t="s">
        <v>594</v>
      </c>
      <c r="C90" s="267" t="s">
        <v>589</v>
      </c>
      <c r="D90" s="267" t="s">
        <v>595</v>
      </c>
      <c r="E90" s="267" t="s">
        <v>589</v>
      </c>
      <c r="F90" s="267" t="s">
        <v>596</v>
      </c>
      <c r="G90" s="267" t="s">
        <v>589</v>
      </c>
      <c r="H90" s="267" t="s">
        <v>597</v>
      </c>
      <c r="I90" s="268"/>
      <c r="J90" s="267" t="s">
        <v>589</v>
      </c>
    </row>
    <row r="91" spans="1:14">
      <c r="A91" s="263">
        <f>A79+A67+A54+A44</f>
        <v>5632357757.6155205</v>
      </c>
      <c r="B91" s="263">
        <f>B79+B67+B54+B44</f>
        <v>1199259976</v>
      </c>
      <c r="C91" s="266">
        <f>A91*B91/100</f>
        <v>6.7546612292214024E+16</v>
      </c>
      <c r="D91" s="263">
        <f>D79+D67+D54+D44</f>
        <v>1687108234</v>
      </c>
      <c r="E91" s="266">
        <f>A91*D91/100</f>
        <v>9.50239714970692E+16</v>
      </c>
      <c r="F91" s="263">
        <f>F79+F67+F54+F44</f>
        <v>0</v>
      </c>
      <c r="G91" s="266">
        <f>A91*F91/100</f>
        <v>0</v>
      </c>
      <c r="H91" s="263">
        <f>H79+H67+H54+H44</f>
        <v>0</v>
      </c>
      <c r="I91" s="260"/>
      <c r="J91" s="266">
        <f>A91*H91/100</f>
        <v>0</v>
      </c>
    </row>
    <row r="92" spans="1:14">
      <c r="A92" s="259"/>
      <c r="B92" s="259"/>
      <c r="C92" s="259"/>
      <c r="D92" s="259"/>
      <c r="E92" s="259"/>
      <c r="F92" s="259"/>
      <c r="G92" s="259"/>
      <c r="H92" s="259"/>
      <c r="I92" s="260"/>
      <c r="J92" s="259"/>
    </row>
    <row r="93" spans="1:14">
      <c r="J93" s="2"/>
      <c r="K93" s="2"/>
      <c r="L93" s="2"/>
      <c r="M93" s="2"/>
      <c r="N93" s="5"/>
    </row>
  </sheetData>
  <mergeCells count="107">
    <mergeCell ref="A59:K59"/>
    <mergeCell ref="A52:J52"/>
    <mergeCell ref="A47:K47"/>
    <mergeCell ref="A42:J42"/>
    <mergeCell ref="A65:J65"/>
    <mergeCell ref="A72:K72"/>
    <mergeCell ref="A77:J77"/>
    <mergeCell ref="A83:K83"/>
    <mergeCell ref="A89:J89"/>
    <mergeCell ref="A37:K37"/>
    <mergeCell ref="A1:AO1"/>
    <mergeCell ref="AQ1:AU1"/>
    <mergeCell ref="A2:AO2"/>
    <mergeCell ref="S32:S33"/>
    <mergeCell ref="U32:U33"/>
    <mergeCell ref="Z32:Z33"/>
    <mergeCell ref="AA32:AA33"/>
    <mergeCell ref="AB32:AB33"/>
    <mergeCell ref="AC32:AC33"/>
    <mergeCell ref="A5:AO5"/>
    <mergeCell ref="A6:B6"/>
    <mergeCell ref="C6:F6"/>
    <mergeCell ref="H6:I6"/>
    <mergeCell ref="J6:J7"/>
    <mergeCell ref="K6:K7"/>
    <mergeCell ref="L6:L7"/>
    <mergeCell ref="M6:M7"/>
    <mergeCell ref="AO6:AO7"/>
    <mergeCell ref="N6:N7"/>
    <mergeCell ref="O6:O7"/>
    <mergeCell ref="AN6:AN7"/>
    <mergeCell ref="AP13:AP15"/>
    <mergeCell ref="A18:A22"/>
    <mergeCell ref="AP18:AP22"/>
    <mergeCell ref="C20:C22"/>
    <mergeCell ref="D20:D22"/>
    <mergeCell ref="E20:E22"/>
    <mergeCell ref="F20:F22"/>
    <mergeCell ref="AP26:AP31"/>
    <mergeCell ref="A26:A31"/>
    <mergeCell ref="B26:B31"/>
    <mergeCell ref="C26:C30"/>
    <mergeCell ref="D26:D30"/>
    <mergeCell ref="E26:E30"/>
    <mergeCell ref="F26:F30"/>
    <mergeCell ref="AA23:AA25"/>
    <mergeCell ref="B18:B22"/>
    <mergeCell ref="C18:C19"/>
    <mergeCell ref="D18:D19"/>
    <mergeCell ref="E18:E19"/>
    <mergeCell ref="F18:F19"/>
    <mergeCell ref="G18:G22"/>
    <mergeCell ref="A4:AO4"/>
    <mergeCell ref="B3:AO3"/>
    <mergeCell ref="A8:A10"/>
    <mergeCell ref="B8:B10"/>
    <mergeCell ref="C8:C10"/>
    <mergeCell ref="D8:D10"/>
    <mergeCell ref="Q9:Q10"/>
    <mergeCell ref="R9:R10"/>
    <mergeCell ref="S9:S10"/>
    <mergeCell ref="U9:U10"/>
    <mergeCell ref="P6:P7"/>
    <mergeCell ref="Q6:U6"/>
    <mergeCell ref="V6:AB6"/>
    <mergeCell ref="V9:V10"/>
    <mergeCell ref="W9:W10"/>
    <mergeCell ref="AA9:AA10"/>
    <mergeCell ref="Z11:Z12"/>
    <mergeCell ref="AA11:AA12"/>
    <mergeCell ref="AE23:AE25"/>
    <mergeCell ref="AD11:AD12"/>
    <mergeCell ref="AE11:AE12"/>
    <mergeCell ref="S16:S17"/>
    <mergeCell ref="U16:U17"/>
    <mergeCell ref="Z16:Z17"/>
    <mergeCell ref="AA16:AA17"/>
    <mergeCell ref="AB16:AB17"/>
    <mergeCell ref="AC16:AC17"/>
    <mergeCell ref="AD16:AD17"/>
    <mergeCell ref="AE16:AE17"/>
    <mergeCell ref="S11:S12"/>
    <mergeCell ref="U11:U12"/>
    <mergeCell ref="S23:S25"/>
    <mergeCell ref="U23:U25"/>
    <mergeCell ref="Z23:Z25"/>
    <mergeCell ref="AB23:AB25"/>
    <mergeCell ref="AC23:AC25"/>
    <mergeCell ref="AD23:AD25"/>
    <mergeCell ref="AB11:AB12"/>
    <mergeCell ref="AC11:AC12"/>
    <mergeCell ref="A32:J33"/>
    <mergeCell ref="E8:E10"/>
    <mergeCell ref="F8:F10"/>
    <mergeCell ref="G8:G10"/>
    <mergeCell ref="H8:H10"/>
    <mergeCell ref="A11:H12"/>
    <mergeCell ref="A16:J17"/>
    <mergeCell ref="G26:G31"/>
    <mergeCell ref="A23:J25"/>
    <mergeCell ref="A13:A15"/>
    <mergeCell ref="B13:B15"/>
    <mergeCell ref="C13:C15"/>
    <mergeCell ref="D13:D15"/>
    <mergeCell ref="E13:E15"/>
    <mergeCell ref="F13:F15"/>
    <mergeCell ref="G13:G15"/>
  </mergeCells>
  <pageMargins left="0.7" right="0.7" top="0.75" bottom="0.75" header="0.3" footer="0.3"/>
  <pageSetup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70499-2843-4638-AF75-2F97BD1F9424}">
  <dimension ref="A1:BI64"/>
  <sheetViews>
    <sheetView topLeftCell="A34" zoomScale="60" zoomScaleNormal="60" workbookViewId="0">
      <selection activeCell="A59" sqref="A59"/>
    </sheetView>
  </sheetViews>
  <sheetFormatPr baseColWidth="10" defaultColWidth="11.42578125" defaultRowHeight="14.25"/>
  <cols>
    <col min="1" max="1" width="31.85546875" style="3" customWidth="1"/>
    <col min="2" max="2" width="28.42578125" style="3" customWidth="1"/>
    <col min="3" max="3" width="24" style="3" customWidth="1"/>
    <col min="4" max="4" width="30.42578125" style="3" customWidth="1"/>
    <col min="5" max="5" width="24.42578125" style="3" customWidth="1"/>
    <col min="6" max="6" width="18.42578125" style="3" customWidth="1"/>
    <col min="7" max="7" width="20.28515625" style="3" customWidth="1"/>
    <col min="8" max="8" width="37.42578125" style="3" customWidth="1"/>
    <col min="9" max="9" width="15" style="3" hidden="1" customWidth="1"/>
    <col min="10" max="11" width="12.7109375" style="2" hidden="1" customWidth="1"/>
    <col min="12" max="12" width="38.42578125" style="2" hidden="1" customWidth="1"/>
    <col min="13" max="13" width="57.42578125" style="2" hidden="1" customWidth="1"/>
    <col min="14" max="14" width="38.140625" style="5" customWidth="1"/>
    <col min="15" max="16" width="15" style="3" customWidth="1"/>
    <col min="17" max="17" width="16.28515625" style="3" customWidth="1"/>
    <col min="18" max="18" width="16.7109375" style="3" customWidth="1"/>
    <col min="19" max="19" width="16.85546875" style="3" customWidth="1"/>
    <col min="20" max="20" width="18" style="3" customWidth="1"/>
    <col min="21" max="21" width="20.140625" style="3" customWidth="1"/>
    <col min="22" max="22" width="21.42578125" style="3" customWidth="1"/>
    <col min="23" max="23" width="27.7109375" style="7" customWidth="1"/>
    <col min="24" max="24" width="25.42578125" style="7" bestFit="1" customWidth="1"/>
    <col min="25" max="34" width="25.42578125" style="7" customWidth="1"/>
    <col min="35" max="37" width="34.28515625" style="7" customWidth="1"/>
    <col min="38" max="42" width="43.85546875" style="7" customWidth="1"/>
    <col min="43" max="43" width="20" style="3" customWidth="1"/>
    <col min="44" max="44" width="20.140625" style="3" customWidth="1"/>
    <col min="45" max="45" width="30.28515625" style="2" hidden="1" customWidth="1"/>
    <col min="46" max="47" width="17.42578125" style="2" customWidth="1"/>
    <col min="48" max="48" width="21.140625" style="2" customWidth="1"/>
    <col min="49" max="49" width="16.7109375" style="2" customWidth="1"/>
    <col min="50" max="50" width="20.140625" style="2" customWidth="1"/>
    <col min="51" max="16384" width="11.42578125" style="2"/>
  </cols>
  <sheetData>
    <row r="1" spans="1:50" s="1" customFormat="1" ht="30.75" customHeight="1" thickTop="1" thickBot="1">
      <c r="A1" s="846" t="s">
        <v>585</v>
      </c>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22"/>
      <c r="AT1" s="823" t="s">
        <v>34</v>
      </c>
      <c r="AU1" s="823"/>
      <c r="AV1" s="823"/>
      <c r="AW1" s="823"/>
      <c r="AX1" s="824"/>
    </row>
    <row r="2" spans="1:50" s="1" customFormat="1" ht="27.95" customHeight="1" thickTop="1" thickBot="1">
      <c r="A2" s="856" t="s">
        <v>0</v>
      </c>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856"/>
      <c r="AQ2" s="856"/>
      <c r="AR2" s="856"/>
      <c r="AS2" s="22"/>
      <c r="AT2" s="253" t="s">
        <v>35</v>
      </c>
      <c r="AU2" s="20" t="s">
        <v>36</v>
      </c>
      <c r="AV2" s="16" t="s">
        <v>37</v>
      </c>
      <c r="AW2" s="16" t="s">
        <v>38</v>
      </c>
      <c r="AX2" s="16" t="s">
        <v>29</v>
      </c>
    </row>
    <row r="3" spans="1:50" s="1" customFormat="1" ht="25.5" customHeight="1" thickTop="1" thickBot="1">
      <c r="B3" s="1041" t="s">
        <v>613</v>
      </c>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c r="AJ3" s="1042"/>
      <c r="AK3" s="1042"/>
      <c r="AL3" s="1042"/>
      <c r="AM3" s="1042"/>
      <c r="AN3" s="1042"/>
      <c r="AO3" s="1042"/>
      <c r="AP3" s="1042"/>
      <c r="AQ3" s="1042"/>
      <c r="AR3" s="1043"/>
      <c r="AS3" s="23"/>
      <c r="AT3" s="28"/>
      <c r="AU3" s="21"/>
      <c r="AV3" s="17"/>
      <c r="AW3" s="18"/>
      <c r="AX3" s="19"/>
    </row>
    <row r="4" spans="1:50" s="1" customFormat="1" ht="27.95" customHeight="1" thickTop="1" thickBot="1">
      <c r="A4" s="1044" t="s">
        <v>614</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5"/>
      <c r="AK4" s="1045"/>
      <c r="AL4" s="1045"/>
      <c r="AM4" s="1045"/>
      <c r="AN4" s="1045"/>
      <c r="AO4" s="1045"/>
      <c r="AP4" s="1045"/>
      <c r="AQ4" s="1045"/>
      <c r="AR4" s="1046"/>
      <c r="AS4" s="23"/>
      <c r="AT4" s="28"/>
      <c r="AU4" s="21"/>
      <c r="AV4" s="17"/>
      <c r="AW4" s="18"/>
      <c r="AX4" s="19"/>
    </row>
    <row r="5" spans="1:50" s="1" customFormat="1" ht="27.95" customHeight="1" thickTop="1" thickBot="1">
      <c r="A5" s="825"/>
      <c r="B5" s="825"/>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c r="AR5" s="825"/>
      <c r="AS5" s="163"/>
      <c r="AT5" s="28"/>
      <c r="AU5" s="21"/>
      <c r="AV5" s="17"/>
      <c r="AW5" s="18"/>
      <c r="AX5" s="19"/>
    </row>
    <row r="6" spans="1:50" ht="27.95" customHeight="1" thickBot="1">
      <c r="A6" s="830"/>
      <c r="B6" s="831"/>
      <c r="C6" s="832" t="s">
        <v>45</v>
      </c>
      <c r="D6" s="830"/>
      <c r="E6" s="830"/>
      <c r="F6" s="831"/>
      <c r="G6" s="29"/>
      <c r="H6" s="875" t="s">
        <v>311</v>
      </c>
      <c r="I6" s="875"/>
      <c r="J6" s="875"/>
      <c r="K6" s="875"/>
      <c r="L6" s="829" t="s">
        <v>44</v>
      </c>
      <c r="M6" s="829" t="s">
        <v>10</v>
      </c>
      <c r="N6" s="1039" t="s">
        <v>1</v>
      </c>
      <c r="O6" s="879" t="s">
        <v>48</v>
      </c>
      <c r="P6" s="879" t="s">
        <v>2</v>
      </c>
      <c r="Q6" s="879" t="s">
        <v>3</v>
      </c>
      <c r="R6" s="879" t="s">
        <v>4</v>
      </c>
      <c r="S6" s="879" t="s">
        <v>5</v>
      </c>
      <c r="T6" s="879" t="s">
        <v>6</v>
      </c>
      <c r="U6" s="878" t="s">
        <v>7</v>
      </c>
      <c r="V6" s="878"/>
      <c r="W6" s="878"/>
      <c r="X6" s="878"/>
      <c r="Y6" s="843" t="s">
        <v>564</v>
      </c>
      <c r="Z6" s="844"/>
      <c r="AA6" s="844"/>
      <c r="AB6" s="844"/>
      <c r="AC6" s="844"/>
      <c r="AD6" s="844"/>
      <c r="AE6" s="845"/>
      <c r="AF6" s="248"/>
      <c r="AG6" s="248"/>
      <c r="AH6" s="248"/>
      <c r="AI6" s="248"/>
      <c r="AJ6" s="248"/>
      <c r="AK6" s="248"/>
      <c r="AL6" s="248"/>
      <c r="AM6" s="248"/>
      <c r="AN6" s="248"/>
      <c r="AO6" s="248"/>
      <c r="AP6" s="248"/>
      <c r="AQ6" s="879" t="s">
        <v>8</v>
      </c>
      <c r="AR6" s="871" t="s">
        <v>9</v>
      </c>
      <c r="AS6" s="164"/>
      <c r="AT6" s="20" t="s">
        <v>39</v>
      </c>
      <c r="AU6" s="15" t="s">
        <v>30</v>
      </c>
      <c r="AV6" s="16" t="s">
        <v>31</v>
      </c>
      <c r="AW6" s="16" t="s">
        <v>32</v>
      </c>
      <c r="AX6" s="16" t="s">
        <v>33</v>
      </c>
    </row>
    <row r="7" spans="1:50" ht="68.25" customHeight="1" thickTop="1" thickBot="1">
      <c r="A7" s="24" t="s">
        <v>42</v>
      </c>
      <c r="B7" s="24" t="s">
        <v>43</v>
      </c>
      <c r="C7" s="24" t="s">
        <v>11</v>
      </c>
      <c r="D7" s="24" t="s">
        <v>52</v>
      </c>
      <c r="E7" s="24" t="s">
        <v>12</v>
      </c>
      <c r="F7" s="24" t="s">
        <v>47</v>
      </c>
      <c r="G7" s="24" t="s">
        <v>41</v>
      </c>
      <c r="H7" s="30" t="s">
        <v>46</v>
      </c>
      <c r="I7" s="24" t="s">
        <v>52</v>
      </c>
      <c r="J7" s="24" t="s">
        <v>12</v>
      </c>
      <c r="K7" s="24" t="s">
        <v>47</v>
      </c>
      <c r="L7" s="829"/>
      <c r="M7" s="829"/>
      <c r="N7" s="1040"/>
      <c r="O7" s="880"/>
      <c r="P7" s="880"/>
      <c r="Q7" s="880"/>
      <c r="R7" s="880"/>
      <c r="S7" s="880"/>
      <c r="T7" s="880"/>
      <c r="U7" s="24" t="s">
        <v>13</v>
      </c>
      <c r="V7" s="24" t="s">
        <v>14</v>
      </c>
      <c r="W7" s="4" t="s">
        <v>15</v>
      </c>
      <c r="X7" s="4" t="s">
        <v>16</v>
      </c>
      <c r="Y7" s="4" t="s">
        <v>565</v>
      </c>
      <c r="Z7" s="4" t="s">
        <v>566</v>
      </c>
      <c r="AA7" s="4" t="s">
        <v>567</v>
      </c>
      <c r="AB7" s="4" t="s">
        <v>568</v>
      </c>
      <c r="AC7" s="4" t="s">
        <v>569</v>
      </c>
      <c r="AD7" s="4" t="s">
        <v>570</v>
      </c>
      <c r="AE7" s="4" t="s">
        <v>571</v>
      </c>
      <c r="AF7" s="252" t="s">
        <v>572</v>
      </c>
      <c r="AG7" s="252" t="s">
        <v>573</v>
      </c>
      <c r="AH7" s="252" t="s">
        <v>574</v>
      </c>
      <c r="AI7" s="252" t="s">
        <v>575</v>
      </c>
      <c r="AJ7" s="252" t="s">
        <v>576</v>
      </c>
      <c r="AK7" s="252" t="s">
        <v>577</v>
      </c>
      <c r="AL7" s="252" t="s">
        <v>578</v>
      </c>
      <c r="AM7" s="252" t="s">
        <v>579</v>
      </c>
      <c r="AN7" s="252" t="s">
        <v>580</v>
      </c>
      <c r="AO7" s="252" t="s">
        <v>581</v>
      </c>
      <c r="AP7" s="252" t="s">
        <v>582</v>
      </c>
      <c r="AQ7" s="880"/>
      <c r="AR7" s="872" t="s">
        <v>9</v>
      </c>
      <c r="AS7" s="164"/>
    </row>
    <row r="8" spans="1:50" s="1" customFormat="1" ht="98.25" customHeight="1" thickBot="1">
      <c r="A8" s="714" t="s">
        <v>503</v>
      </c>
      <c r="B8" s="714" t="s">
        <v>504</v>
      </c>
      <c r="C8" s="714" t="s">
        <v>505</v>
      </c>
      <c r="D8" s="714"/>
      <c r="E8" s="714"/>
      <c r="F8" s="714"/>
      <c r="G8" s="714"/>
      <c r="H8" s="711" t="s">
        <v>226</v>
      </c>
      <c r="I8" s="711" t="s">
        <v>17</v>
      </c>
      <c r="J8" s="737" t="s">
        <v>51</v>
      </c>
      <c r="K8" s="737">
        <v>1</v>
      </c>
      <c r="L8" s="709"/>
      <c r="M8" s="714" t="s">
        <v>231</v>
      </c>
      <c r="N8" s="184" t="s">
        <v>410</v>
      </c>
      <c r="O8" s="179">
        <v>6</v>
      </c>
      <c r="P8" s="179" t="s">
        <v>17</v>
      </c>
      <c r="Q8" s="180">
        <v>1</v>
      </c>
      <c r="R8" s="180">
        <v>2</v>
      </c>
      <c r="S8" s="180">
        <v>2</v>
      </c>
      <c r="T8" s="180">
        <v>1</v>
      </c>
      <c r="U8" s="224"/>
      <c r="V8" s="226"/>
      <c r="W8" s="103"/>
      <c r="X8" s="223"/>
      <c r="Y8" s="315"/>
      <c r="Z8" s="315"/>
      <c r="AA8" s="315"/>
      <c r="AB8" s="315"/>
      <c r="AC8" s="111"/>
      <c r="AD8" s="111"/>
      <c r="AE8" s="111"/>
      <c r="AF8" s="223"/>
      <c r="AG8" s="223"/>
      <c r="AH8" s="223"/>
      <c r="AI8" s="223"/>
      <c r="AJ8" s="223"/>
      <c r="AK8" s="223"/>
      <c r="AL8" s="223"/>
      <c r="AM8" s="223"/>
      <c r="AN8" s="223"/>
      <c r="AO8" s="223"/>
      <c r="AP8" s="223"/>
      <c r="AQ8" s="179" t="s">
        <v>430</v>
      </c>
      <c r="AR8" s="179" t="s">
        <v>430</v>
      </c>
      <c r="AS8" s="894"/>
    </row>
    <row r="9" spans="1:50" s="1" customFormat="1" ht="96" customHeight="1" thickBot="1">
      <c r="A9" s="714"/>
      <c r="B9" s="714"/>
      <c r="C9" s="714"/>
      <c r="D9" s="714"/>
      <c r="E9" s="714"/>
      <c r="F9" s="714"/>
      <c r="G9" s="714"/>
      <c r="H9" s="714"/>
      <c r="I9" s="714"/>
      <c r="J9" s="709"/>
      <c r="K9" s="724"/>
      <c r="L9" s="709"/>
      <c r="M9" s="714"/>
      <c r="N9" s="184" t="s">
        <v>411</v>
      </c>
      <c r="O9" s="179">
        <v>6</v>
      </c>
      <c r="P9" s="179" t="s">
        <v>17</v>
      </c>
      <c r="Q9" s="180">
        <v>1</v>
      </c>
      <c r="R9" s="180">
        <v>2</v>
      </c>
      <c r="S9" s="180">
        <v>2</v>
      </c>
      <c r="T9" s="180">
        <v>1</v>
      </c>
      <c r="U9" s="224"/>
      <c r="V9" s="226"/>
      <c r="W9" s="103"/>
      <c r="X9" s="223"/>
      <c r="Y9" s="315"/>
      <c r="Z9" s="315"/>
      <c r="AA9" s="315"/>
      <c r="AB9" s="315"/>
      <c r="AC9" s="111"/>
      <c r="AD9" s="111"/>
      <c r="AE9" s="111"/>
      <c r="AF9" s="223"/>
      <c r="AG9" s="223"/>
      <c r="AH9" s="223"/>
      <c r="AI9" s="223"/>
      <c r="AJ9" s="223"/>
      <c r="AK9" s="223"/>
      <c r="AL9" s="223"/>
      <c r="AM9" s="223"/>
      <c r="AN9" s="223"/>
      <c r="AO9" s="223"/>
      <c r="AP9" s="223"/>
      <c r="AQ9" s="179" t="s">
        <v>430</v>
      </c>
      <c r="AR9" s="179" t="s">
        <v>430</v>
      </c>
      <c r="AS9" s="894"/>
    </row>
    <row r="10" spans="1:50" s="1" customFormat="1" ht="83.25" customHeight="1" thickBot="1">
      <c r="A10" s="714"/>
      <c r="B10" s="714"/>
      <c r="C10" s="714"/>
      <c r="D10" s="714"/>
      <c r="E10" s="714"/>
      <c r="F10" s="714"/>
      <c r="G10" s="714"/>
      <c r="H10" s="712"/>
      <c r="I10" s="746"/>
      <c r="J10" s="724"/>
      <c r="K10" s="102">
        <v>1</v>
      </c>
      <c r="L10" s="709"/>
      <c r="M10" s="714"/>
      <c r="N10" s="184" t="s">
        <v>412</v>
      </c>
      <c r="O10" s="179">
        <v>6</v>
      </c>
      <c r="P10" s="179" t="s">
        <v>17</v>
      </c>
      <c r="Q10" s="180">
        <v>1</v>
      </c>
      <c r="R10" s="180">
        <v>2</v>
      </c>
      <c r="S10" s="180">
        <v>2</v>
      </c>
      <c r="T10" s="180">
        <v>1</v>
      </c>
      <c r="U10" s="224"/>
      <c r="V10" s="226"/>
      <c r="W10" s="103"/>
      <c r="X10" s="223"/>
      <c r="Y10" s="315"/>
      <c r="Z10" s="315"/>
      <c r="AA10" s="315"/>
      <c r="AB10" s="315"/>
      <c r="AC10" s="111"/>
      <c r="AD10" s="111"/>
      <c r="AE10" s="111"/>
      <c r="AF10" s="223"/>
      <c r="AG10" s="223"/>
      <c r="AH10" s="223"/>
      <c r="AI10" s="223"/>
      <c r="AJ10" s="223"/>
      <c r="AK10" s="223"/>
      <c r="AL10" s="223"/>
      <c r="AM10" s="223"/>
      <c r="AN10" s="223"/>
      <c r="AO10" s="223"/>
      <c r="AP10" s="223"/>
      <c r="AQ10" s="179" t="s">
        <v>430</v>
      </c>
      <c r="AR10" s="179" t="s">
        <v>430</v>
      </c>
      <c r="AS10" s="894"/>
    </row>
    <row r="11" spans="1:50" s="1" customFormat="1" ht="100.5" customHeight="1" thickBot="1">
      <c r="A11" s="714"/>
      <c r="B11" s="714"/>
      <c r="C11" s="714"/>
      <c r="D11" s="714"/>
      <c r="E11" s="714"/>
      <c r="F11" s="714"/>
      <c r="G11" s="714"/>
      <c r="H11" s="713" t="s">
        <v>227</v>
      </c>
      <c r="I11" s="711" t="s">
        <v>17</v>
      </c>
      <c r="J11" s="737" t="s">
        <v>51</v>
      </c>
      <c r="K11" s="708">
        <v>1</v>
      </c>
      <c r="L11" s="709"/>
      <c r="M11" s="714"/>
      <c r="N11" s="107" t="s">
        <v>413</v>
      </c>
      <c r="O11" s="179">
        <v>8</v>
      </c>
      <c r="P11" s="179" t="s">
        <v>17</v>
      </c>
      <c r="Q11" s="108">
        <v>2</v>
      </c>
      <c r="R11" s="108">
        <v>2</v>
      </c>
      <c r="S11" s="108">
        <v>2</v>
      </c>
      <c r="T11" s="108">
        <v>2</v>
      </c>
      <c r="U11" s="109" t="s">
        <v>386</v>
      </c>
      <c r="V11" s="110"/>
      <c r="W11" s="103">
        <f>18900000+10961446.0788</f>
        <v>29861446.0788</v>
      </c>
      <c r="X11" s="111">
        <f>W11</f>
        <v>29861446.0788</v>
      </c>
      <c r="Y11" s="315"/>
      <c r="Z11" s="315"/>
      <c r="AA11" s="315"/>
      <c r="AB11" s="315"/>
      <c r="AC11" s="367">
        <v>9649218</v>
      </c>
      <c r="AD11" s="111">
        <v>9649218</v>
      </c>
      <c r="AE11" s="111"/>
      <c r="AF11" s="223"/>
      <c r="AG11" s="223"/>
      <c r="AH11" s="223"/>
      <c r="AI11" s="223"/>
      <c r="AJ11" s="223"/>
      <c r="AK11" s="223"/>
      <c r="AL11" s="223"/>
      <c r="AM11" s="223"/>
      <c r="AN11" s="223"/>
      <c r="AO11" s="223"/>
      <c r="AP11" s="223"/>
      <c r="AQ11" s="179" t="s">
        <v>430</v>
      </c>
      <c r="AR11" s="179" t="s">
        <v>430</v>
      </c>
      <c r="AS11" s="894"/>
    </row>
    <row r="12" spans="1:50" s="1" customFormat="1" ht="100.5" customHeight="1" thickBot="1">
      <c r="A12" s="714"/>
      <c r="B12" s="714"/>
      <c r="C12" s="714"/>
      <c r="D12" s="714"/>
      <c r="E12" s="714"/>
      <c r="F12" s="714"/>
      <c r="G12" s="714"/>
      <c r="H12" s="712"/>
      <c r="I12" s="712"/>
      <c r="J12" s="710"/>
      <c r="K12" s="710"/>
      <c r="L12" s="709"/>
      <c r="M12" s="714"/>
      <c r="N12" s="107" t="s">
        <v>414</v>
      </c>
      <c r="O12" s="179">
        <v>8</v>
      </c>
      <c r="P12" s="179" t="s">
        <v>17</v>
      </c>
      <c r="Q12" s="108">
        <v>2</v>
      </c>
      <c r="R12" s="108">
        <v>2</v>
      </c>
      <c r="S12" s="108">
        <v>2</v>
      </c>
      <c r="T12" s="108">
        <v>2</v>
      </c>
      <c r="U12" s="109"/>
      <c r="V12" s="110"/>
      <c r="W12" s="103"/>
      <c r="X12" s="111"/>
      <c r="Y12" s="315"/>
      <c r="Z12" s="315"/>
      <c r="AA12" s="315"/>
      <c r="AB12" s="315"/>
      <c r="AC12" s="367"/>
      <c r="AD12" s="111"/>
      <c r="AE12" s="111"/>
      <c r="AF12" s="223"/>
      <c r="AG12" s="223"/>
      <c r="AH12" s="223"/>
      <c r="AI12" s="223"/>
      <c r="AJ12" s="223"/>
      <c r="AK12" s="223"/>
      <c r="AL12" s="223"/>
      <c r="AM12" s="223"/>
      <c r="AN12" s="223"/>
      <c r="AO12" s="223"/>
      <c r="AP12" s="223"/>
      <c r="AQ12" s="179" t="s">
        <v>430</v>
      </c>
      <c r="AR12" s="179" t="s">
        <v>430</v>
      </c>
      <c r="AS12" s="894"/>
    </row>
    <row r="13" spans="1:50" s="1" customFormat="1" ht="90" customHeight="1" thickBot="1">
      <c r="A13" s="714"/>
      <c r="B13" s="714"/>
      <c r="C13" s="712"/>
      <c r="D13" s="712"/>
      <c r="E13" s="712"/>
      <c r="F13" s="712"/>
      <c r="G13" s="714"/>
      <c r="H13" s="105" t="s">
        <v>228</v>
      </c>
      <c r="I13" s="105" t="s">
        <v>18</v>
      </c>
      <c r="J13" s="104" t="s">
        <v>51</v>
      </c>
      <c r="K13" s="104">
        <v>30</v>
      </c>
      <c r="L13" s="710"/>
      <c r="M13" s="712"/>
      <c r="N13" s="107" t="s">
        <v>415</v>
      </c>
      <c r="O13" s="108">
        <v>9</v>
      </c>
      <c r="P13" s="179" t="s">
        <v>17</v>
      </c>
      <c r="Q13" s="108">
        <v>0</v>
      </c>
      <c r="R13" s="108">
        <v>3</v>
      </c>
      <c r="S13" s="108">
        <v>3</v>
      </c>
      <c r="T13" s="108">
        <v>3</v>
      </c>
      <c r="U13" s="109" t="s">
        <v>386</v>
      </c>
      <c r="V13" s="110"/>
      <c r="W13" s="103">
        <f>31500000+10961446.0788</f>
        <v>42461446.0788</v>
      </c>
      <c r="X13" s="111">
        <f>W13</f>
        <v>42461446.0788</v>
      </c>
      <c r="Y13" s="315"/>
      <c r="Z13" s="315"/>
      <c r="AA13" s="315"/>
      <c r="AB13" s="315"/>
      <c r="AC13" s="367">
        <v>13399218</v>
      </c>
      <c r="AD13" s="111">
        <v>13399218</v>
      </c>
      <c r="AE13" s="111"/>
      <c r="AF13" s="223"/>
      <c r="AG13" s="223"/>
      <c r="AH13" s="223"/>
      <c r="AI13" s="223"/>
      <c r="AJ13" s="223"/>
      <c r="AK13" s="223"/>
      <c r="AL13" s="223"/>
      <c r="AM13" s="223"/>
      <c r="AN13" s="223"/>
      <c r="AO13" s="223"/>
      <c r="AP13" s="223"/>
      <c r="AQ13" s="179" t="s">
        <v>430</v>
      </c>
      <c r="AR13" s="179" t="s">
        <v>430</v>
      </c>
      <c r="AS13" s="894"/>
    </row>
    <row r="14" spans="1:50" s="1" customFormat="1" ht="87" customHeight="1" thickBot="1">
      <c r="A14" s="714"/>
      <c r="B14" s="714"/>
      <c r="C14" s="713" t="s">
        <v>225</v>
      </c>
      <c r="D14" s="713" t="s">
        <v>82</v>
      </c>
      <c r="E14" s="713" t="s">
        <v>51</v>
      </c>
      <c r="F14" s="713">
        <v>1</v>
      </c>
      <c r="G14" s="714"/>
      <c r="H14" s="105" t="s">
        <v>229</v>
      </c>
      <c r="I14" s="105" t="s">
        <v>17</v>
      </c>
      <c r="J14" s="104" t="s">
        <v>51</v>
      </c>
      <c r="K14" s="104">
        <v>1</v>
      </c>
      <c r="L14" s="708"/>
      <c r="M14" s="713" t="s">
        <v>232</v>
      </c>
      <c r="N14" s="107" t="s">
        <v>416</v>
      </c>
      <c r="O14" s="108">
        <v>6</v>
      </c>
      <c r="P14" s="108" t="s">
        <v>17</v>
      </c>
      <c r="Q14" s="108">
        <v>0</v>
      </c>
      <c r="R14" s="108">
        <v>2</v>
      </c>
      <c r="S14" s="108">
        <v>2</v>
      </c>
      <c r="T14" s="108">
        <v>2</v>
      </c>
      <c r="U14" s="109" t="s">
        <v>386</v>
      </c>
      <c r="V14" s="110"/>
      <c r="W14" s="103">
        <f>40320000+10961446.0788</f>
        <v>51281446.0788</v>
      </c>
      <c r="X14" s="111">
        <f>W14</f>
        <v>51281446.0788</v>
      </c>
      <c r="Y14" s="315"/>
      <c r="Z14" s="315"/>
      <c r="AA14" s="315"/>
      <c r="AB14" s="315"/>
      <c r="AC14" s="111">
        <v>0</v>
      </c>
      <c r="AD14" s="111">
        <v>0</v>
      </c>
      <c r="AE14" s="111"/>
      <c r="AF14" s="223"/>
      <c r="AG14" s="223"/>
      <c r="AH14" s="223"/>
      <c r="AI14" s="223"/>
      <c r="AJ14" s="223"/>
      <c r="AK14" s="223"/>
      <c r="AL14" s="223"/>
      <c r="AM14" s="223"/>
      <c r="AN14" s="223"/>
      <c r="AO14" s="223"/>
      <c r="AP14" s="223"/>
      <c r="AQ14" s="179" t="s">
        <v>430</v>
      </c>
      <c r="AR14" s="179" t="s">
        <v>430</v>
      </c>
      <c r="AS14" s="894"/>
    </row>
    <row r="15" spans="1:50" s="1" customFormat="1" ht="96" customHeight="1">
      <c r="A15" s="714"/>
      <c r="B15" s="714"/>
      <c r="C15" s="714"/>
      <c r="D15" s="714"/>
      <c r="E15" s="714"/>
      <c r="F15" s="714"/>
      <c r="G15" s="712"/>
      <c r="H15" s="105" t="s">
        <v>230</v>
      </c>
      <c r="I15" s="105" t="s">
        <v>17</v>
      </c>
      <c r="J15" s="104" t="s">
        <v>51</v>
      </c>
      <c r="K15" s="104">
        <v>1</v>
      </c>
      <c r="L15" s="710"/>
      <c r="M15" s="712"/>
      <c r="N15" s="107" t="s">
        <v>417</v>
      </c>
      <c r="O15" s="108">
        <v>1</v>
      </c>
      <c r="P15" s="108" t="s">
        <v>17</v>
      </c>
      <c r="Q15" s="108">
        <v>0</v>
      </c>
      <c r="R15" s="108">
        <v>0</v>
      </c>
      <c r="S15" s="108">
        <v>0</v>
      </c>
      <c r="T15" s="108">
        <v>1</v>
      </c>
      <c r="U15" s="109" t="s">
        <v>387</v>
      </c>
      <c r="V15" s="110"/>
      <c r="W15" s="103">
        <f>44100000+10961446.0788</f>
        <v>55061446.0788</v>
      </c>
      <c r="X15" s="111">
        <f>W15</f>
        <v>55061446.0788</v>
      </c>
      <c r="Y15" s="315"/>
      <c r="Z15" s="315"/>
      <c r="AA15" s="315"/>
      <c r="AB15" s="315"/>
      <c r="AC15" s="111">
        <v>10849218</v>
      </c>
      <c r="AD15" s="111">
        <v>10849218</v>
      </c>
      <c r="AE15" s="111"/>
      <c r="AF15" s="223"/>
      <c r="AG15" s="223"/>
      <c r="AH15" s="223"/>
      <c r="AI15" s="223"/>
      <c r="AJ15" s="223"/>
      <c r="AK15" s="223"/>
      <c r="AL15" s="223"/>
      <c r="AM15" s="223"/>
      <c r="AN15" s="223"/>
      <c r="AO15" s="223"/>
      <c r="AP15" s="223"/>
      <c r="AQ15" s="179" t="s">
        <v>430</v>
      </c>
      <c r="AR15" s="179" t="s">
        <v>430</v>
      </c>
      <c r="AS15" s="894"/>
    </row>
    <row r="16" spans="1:50" s="1" customFormat="1" ht="96" customHeight="1">
      <c r="A16" s="714"/>
      <c r="B16" s="714"/>
      <c r="C16" s="714"/>
      <c r="D16" s="714"/>
      <c r="E16" s="714"/>
      <c r="F16" s="714"/>
      <c r="G16" s="713" t="s">
        <v>233</v>
      </c>
      <c r="H16" s="713" t="s">
        <v>234</v>
      </c>
      <c r="I16" s="713" t="s">
        <v>17</v>
      </c>
      <c r="J16" s="708" t="s">
        <v>51</v>
      </c>
      <c r="K16" s="708">
        <v>1</v>
      </c>
      <c r="L16" s="708"/>
      <c r="M16" s="713" t="s">
        <v>235</v>
      </c>
      <c r="N16" s="107" t="s">
        <v>418</v>
      </c>
      <c r="O16" s="108">
        <v>6</v>
      </c>
      <c r="P16" s="108" t="s">
        <v>17</v>
      </c>
      <c r="Q16" s="108">
        <v>1</v>
      </c>
      <c r="R16" s="108">
        <v>2</v>
      </c>
      <c r="S16" s="108">
        <v>2</v>
      </c>
      <c r="T16" s="108">
        <v>1</v>
      </c>
      <c r="U16" s="109"/>
      <c r="V16" s="110"/>
      <c r="W16" s="223"/>
      <c r="X16" s="111"/>
      <c r="Y16" s="315"/>
      <c r="Z16" s="315"/>
      <c r="AA16" s="315"/>
      <c r="AB16" s="315"/>
      <c r="AC16" s="111"/>
      <c r="AD16" s="111"/>
      <c r="AE16" s="111"/>
      <c r="AF16" s="223"/>
      <c r="AG16" s="223"/>
      <c r="AH16" s="223"/>
      <c r="AI16" s="223"/>
      <c r="AJ16" s="223"/>
      <c r="AK16" s="223"/>
      <c r="AL16" s="223"/>
      <c r="AM16" s="223"/>
      <c r="AN16" s="223"/>
      <c r="AO16" s="223"/>
      <c r="AP16" s="223"/>
      <c r="AQ16" s="179" t="s">
        <v>430</v>
      </c>
      <c r="AR16" s="179" t="s">
        <v>430</v>
      </c>
      <c r="AS16" s="894"/>
    </row>
    <row r="17" spans="1:61" s="1" customFormat="1" ht="92.25" customHeight="1">
      <c r="A17" s="712"/>
      <c r="B17" s="712"/>
      <c r="C17" s="712"/>
      <c r="D17" s="712"/>
      <c r="E17" s="712"/>
      <c r="F17" s="712"/>
      <c r="G17" s="712"/>
      <c r="H17" s="712"/>
      <c r="I17" s="712"/>
      <c r="J17" s="710"/>
      <c r="K17" s="710"/>
      <c r="L17" s="710"/>
      <c r="M17" s="712"/>
      <c r="N17" s="107" t="s">
        <v>419</v>
      </c>
      <c r="O17" s="108">
        <v>6</v>
      </c>
      <c r="P17" s="108" t="s">
        <v>17</v>
      </c>
      <c r="Q17" s="108">
        <v>1</v>
      </c>
      <c r="R17" s="108">
        <v>2</v>
      </c>
      <c r="S17" s="108">
        <v>2</v>
      </c>
      <c r="T17" s="108">
        <v>1</v>
      </c>
      <c r="U17" s="109" t="s">
        <v>20</v>
      </c>
      <c r="V17" s="110"/>
      <c r="W17" s="111"/>
      <c r="X17" s="111">
        <f t="shared" ref="X17:X29" si="0">W17</f>
        <v>0</v>
      </c>
      <c r="Y17" s="315"/>
      <c r="Z17" s="315"/>
      <c r="AA17" s="315"/>
      <c r="AB17" s="315"/>
      <c r="AC17" s="111"/>
      <c r="AD17" s="111"/>
      <c r="AE17" s="111"/>
      <c r="AF17" s="111"/>
      <c r="AG17" s="111"/>
      <c r="AH17" s="111"/>
      <c r="AI17" s="111"/>
      <c r="AJ17" s="111"/>
      <c r="AK17" s="111"/>
      <c r="AL17" s="111"/>
      <c r="AM17" s="111"/>
      <c r="AN17" s="111"/>
      <c r="AO17" s="111"/>
      <c r="AP17" s="111"/>
      <c r="AQ17" s="108" t="s">
        <v>431</v>
      </c>
      <c r="AR17" s="108" t="s">
        <v>431</v>
      </c>
      <c r="AS17" s="895"/>
    </row>
    <row r="18" spans="1:61" s="298" customFormat="1" ht="92.25" customHeight="1">
      <c r="A18" s="1085" t="s">
        <v>607</v>
      </c>
      <c r="B18" s="1086"/>
      <c r="C18" s="1086"/>
      <c r="D18" s="1086"/>
      <c r="E18" s="1086"/>
      <c r="F18" s="1086"/>
      <c r="G18" s="1086"/>
      <c r="H18" s="1086"/>
      <c r="I18" s="1086"/>
      <c r="J18" s="1086"/>
      <c r="K18" s="1086"/>
      <c r="L18" s="1086"/>
      <c r="M18" s="1086"/>
      <c r="N18" s="1087"/>
      <c r="O18" s="54">
        <f>SUM(O8:O17)</f>
        <v>62</v>
      </c>
      <c r="P18" s="54" t="s">
        <v>452</v>
      </c>
      <c r="Q18" s="54">
        <f t="shared" ref="Q18:T18" si="1">SUM(Q8:Q17)</f>
        <v>9</v>
      </c>
      <c r="R18" s="54">
        <f t="shared" si="1"/>
        <v>19</v>
      </c>
      <c r="S18" s="54">
        <f t="shared" si="1"/>
        <v>19</v>
      </c>
      <c r="T18" s="54">
        <f t="shared" si="1"/>
        <v>15</v>
      </c>
      <c r="U18" s="61"/>
      <c r="V18" s="57"/>
      <c r="W18" s="58">
        <f>SUM(W8:W17)</f>
        <v>178665784.3152</v>
      </c>
      <c r="X18" s="58">
        <f>SUM(X8:X17)</f>
        <v>178665784.3152</v>
      </c>
      <c r="Y18" s="54">
        <f>SUM(Y8:Y17)</f>
        <v>0</v>
      </c>
      <c r="Z18" s="54">
        <f t="shared" ref="Z18:AB18" si="2">SUM(Z8:Z17)</f>
        <v>0</v>
      </c>
      <c r="AA18" s="54">
        <f t="shared" si="2"/>
        <v>0</v>
      </c>
      <c r="AB18" s="54">
        <f t="shared" si="2"/>
        <v>0</v>
      </c>
      <c r="AC18" s="58">
        <f>SUM(AC8:AC17)</f>
        <v>33897654</v>
      </c>
      <c r="AD18" s="58">
        <f t="shared" ref="AD18:AH18" si="3">SUM(AD8:AD17)</f>
        <v>33897654</v>
      </c>
      <c r="AE18" s="58">
        <f t="shared" si="3"/>
        <v>0</v>
      </c>
      <c r="AF18" s="58">
        <f t="shared" si="3"/>
        <v>0</v>
      </c>
      <c r="AG18" s="58">
        <f t="shared" si="3"/>
        <v>0</v>
      </c>
      <c r="AH18" s="58">
        <f t="shared" si="3"/>
        <v>0</v>
      </c>
      <c r="AI18" s="58"/>
      <c r="AJ18" s="58"/>
      <c r="AK18" s="58"/>
      <c r="AL18" s="58"/>
      <c r="AM18" s="58"/>
      <c r="AN18" s="58"/>
      <c r="AO18" s="58"/>
      <c r="AP18" s="58"/>
      <c r="AQ18" s="54"/>
      <c r="AR18" s="54"/>
      <c r="AS18" s="297"/>
      <c r="AT18" s="299"/>
      <c r="AU18" s="299"/>
      <c r="AV18" s="299"/>
      <c r="AW18" s="299"/>
      <c r="AX18" s="299"/>
      <c r="AY18" s="299"/>
      <c r="AZ18" s="299"/>
      <c r="BA18" s="299"/>
      <c r="BB18" s="299"/>
      <c r="BC18" s="299"/>
      <c r="BD18" s="299"/>
      <c r="BE18" s="299"/>
      <c r="BF18" s="299"/>
      <c r="BG18" s="299"/>
      <c r="BH18" s="299"/>
      <c r="BI18" s="299"/>
    </row>
    <row r="19" spans="1:61" s="1" customFormat="1" ht="96.75" customHeight="1">
      <c r="A19" s="713" t="s">
        <v>236</v>
      </c>
      <c r="B19" s="713" t="s">
        <v>237</v>
      </c>
      <c r="C19" s="108" t="s">
        <v>238</v>
      </c>
      <c r="D19" s="108" t="s">
        <v>18</v>
      </c>
      <c r="E19" s="108">
        <v>95</v>
      </c>
      <c r="F19" s="108">
        <v>95</v>
      </c>
      <c r="G19" s="713" t="s">
        <v>240</v>
      </c>
      <c r="H19" s="713" t="s">
        <v>241</v>
      </c>
      <c r="I19" s="713" t="s">
        <v>18</v>
      </c>
      <c r="J19" s="708">
        <v>92</v>
      </c>
      <c r="K19" s="708">
        <v>94</v>
      </c>
      <c r="L19" s="106"/>
      <c r="M19" s="104" t="s">
        <v>242</v>
      </c>
      <c r="N19" s="107" t="s">
        <v>506</v>
      </c>
      <c r="O19" s="108">
        <v>12</v>
      </c>
      <c r="P19" s="108" t="s">
        <v>17</v>
      </c>
      <c r="Q19" s="108">
        <v>3</v>
      </c>
      <c r="R19" s="108">
        <v>3</v>
      </c>
      <c r="S19" s="108">
        <v>3</v>
      </c>
      <c r="T19" s="108">
        <v>3</v>
      </c>
      <c r="U19" s="109" t="s">
        <v>20</v>
      </c>
      <c r="V19" s="110"/>
      <c r="W19" s="111">
        <v>20571428.571428601</v>
      </c>
      <c r="X19" s="111">
        <f t="shared" si="0"/>
        <v>20571428.571428601</v>
      </c>
      <c r="Y19" s="315"/>
      <c r="Z19" s="315"/>
      <c r="AA19" s="315"/>
      <c r="AB19" s="315"/>
      <c r="AC19" s="111">
        <v>3000000</v>
      </c>
      <c r="AD19" s="111">
        <v>3000000</v>
      </c>
      <c r="AE19" s="111"/>
      <c r="AF19" s="111"/>
      <c r="AG19" s="111"/>
      <c r="AH19" s="111"/>
      <c r="AI19" s="111"/>
      <c r="AJ19" s="111"/>
      <c r="AK19" s="111"/>
      <c r="AL19" s="111"/>
      <c r="AM19" s="111"/>
      <c r="AN19" s="111"/>
      <c r="AO19" s="111"/>
      <c r="AP19" s="111"/>
      <c r="AQ19" s="108" t="s">
        <v>431</v>
      </c>
      <c r="AR19" s="108" t="s">
        <v>431</v>
      </c>
      <c r="AS19" s="809" t="s">
        <v>335</v>
      </c>
    </row>
    <row r="20" spans="1:61" s="1" customFormat="1" ht="96.75" customHeight="1">
      <c r="A20" s="714"/>
      <c r="B20" s="714"/>
      <c r="C20" s="115"/>
      <c r="D20" s="115"/>
      <c r="E20" s="115"/>
      <c r="F20" s="115"/>
      <c r="G20" s="714"/>
      <c r="H20" s="714"/>
      <c r="I20" s="714"/>
      <c r="J20" s="709"/>
      <c r="K20" s="709"/>
      <c r="L20" s="106"/>
      <c r="M20" s="713" t="s">
        <v>243</v>
      </c>
      <c r="N20" s="107" t="s">
        <v>420</v>
      </c>
      <c r="O20" s="108">
        <v>6</v>
      </c>
      <c r="P20" s="108" t="s">
        <v>17</v>
      </c>
      <c r="Q20" s="108">
        <v>1</v>
      </c>
      <c r="R20" s="108">
        <v>2</v>
      </c>
      <c r="S20" s="108">
        <v>2</v>
      </c>
      <c r="T20" s="108">
        <v>1</v>
      </c>
      <c r="U20" s="1088" t="s">
        <v>20</v>
      </c>
      <c r="V20" s="1091"/>
      <c r="W20" s="1094">
        <v>20571428.571428601</v>
      </c>
      <c r="X20" s="111"/>
      <c r="Y20" s="315"/>
      <c r="Z20" s="315"/>
      <c r="AA20" s="315"/>
      <c r="AB20" s="315"/>
      <c r="AC20" s="111">
        <v>3000000</v>
      </c>
      <c r="AD20" s="111">
        <v>3000000</v>
      </c>
      <c r="AE20" s="111"/>
      <c r="AF20" s="111"/>
      <c r="AG20" s="111"/>
      <c r="AH20" s="111"/>
      <c r="AI20" s="111"/>
      <c r="AJ20" s="111"/>
      <c r="AK20" s="111"/>
      <c r="AL20" s="111"/>
      <c r="AM20" s="111"/>
      <c r="AN20" s="111"/>
      <c r="AO20" s="111"/>
      <c r="AP20" s="111"/>
      <c r="AQ20" s="108" t="s">
        <v>431</v>
      </c>
      <c r="AR20" s="108" t="s">
        <v>431</v>
      </c>
      <c r="AS20" s="810"/>
    </row>
    <row r="21" spans="1:61" s="1" customFormat="1" ht="100.5" customHeight="1">
      <c r="A21" s="714"/>
      <c r="B21" s="714"/>
      <c r="C21" s="713" t="s">
        <v>239</v>
      </c>
      <c r="D21" s="713" t="s">
        <v>18</v>
      </c>
      <c r="E21" s="713">
        <v>100</v>
      </c>
      <c r="F21" s="713">
        <v>100</v>
      </c>
      <c r="G21" s="712"/>
      <c r="H21" s="712"/>
      <c r="I21" s="712"/>
      <c r="J21" s="710"/>
      <c r="K21" s="710"/>
      <c r="L21" s="106"/>
      <c r="M21" s="712"/>
      <c r="N21" s="107" t="s">
        <v>421</v>
      </c>
      <c r="O21" s="108">
        <v>6</v>
      </c>
      <c r="P21" s="108" t="s">
        <v>17</v>
      </c>
      <c r="Q21" s="108">
        <v>1</v>
      </c>
      <c r="R21" s="108">
        <v>2</v>
      </c>
      <c r="S21" s="108">
        <v>2</v>
      </c>
      <c r="T21" s="108">
        <v>1</v>
      </c>
      <c r="U21" s="1090"/>
      <c r="V21" s="1093"/>
      <c r="W21" s="1096"/>
      <c r="X21" s="111">
        <f>W20</f>
        <v>20571428.571428601</v>
      </c>
      <c r="Y21" s="315"/>
      <c r="Z21" s="315"/>
      <c r="AA21" s="315"/>
      <c r="AB21" s="315"/>
      <c r="AC21" s="111">
        <v>3000000</v>
      </c>
      <c r="AD21" s="111">
        <v>3000000</v>
      </c>
      <c r="AE21" s="111"/>
      <c r="AF21" s="111"/>
      <c r="AG21" s="111"/>
      <c r="AH21" s="111"/>
      <c r="AI21" s="111"/>
      <c r="AJ21" s="111"/>
      <c r="AK21" s="111"/>
      <c r="AL21" s="111"/>
      <c r="AM21" s="111"/>
      <c r="AN21" s="111"/>
      <c r="AO21" s="111"/>
      <c r="AP21" s="111"/>
      <c r="AQ21" s="108" t="s">
        <v>431</v>
      </c>
      <c r="AR21" s="108" t="s">
        <v>431</v>
      </c>
      <c r="AS21" s="810"/>
    </row>
    <row r="22" spans="1:61" s="1" customFormat="1" ht="106.5" customHeight="1">
      <c r="A22" s="714"/>
      <c r="B22" s="714"/>
      <c r="C22" s="714"/>
      <c r="D22" s="714"/>
      <c r="E22" s="714"/>
      <c r="F22" s="714"/>
      <c r="G22" s="713" t="s">
        <v>244</v>
      </c>
      <c r="H22" s="713" t="s">
        <v>245</v>
      </c>
      <c r="I22" s="713" t="s">
        <v>18</v>
      </c>
      <c r="J22" s="708">
        <v>100</v>
      </c>
      <c r="K22" s="708">
        <v>100</v>
      </c>
      <c r="L22" s="106"/>
      <c r="M22" s="708" t="s">
        <v>246</v>
      </c>
      <c r="N22" s="107" t="s">
        <v>422</v>
      </c>
      <c r="O22" s="108">
        <v>6</v>
      </c>
      <c r="P22" s="108" t="s">
        <v>17</v>
      </c>
      <c r="Q22" s="108">
        <v>1</v>
      </c>
      <c r="R22" s="108">
        <v>2</v>
      </c>
      <c r="S22" s="108">
        <v>2</v>
      </c>
      <c r="T22" s="108">
        <v>1</v>
      </c>
      <c r="U22" s="1088" t="s">
        <v>20</v>
      </c>
      <c r="V22" s="1091"/>
      <c r="W22" s="1094">
        <v>20571428.571428601</v>
      </c>
      <c r="X22" s="1094">
        <f t="shared" si="0"/>
        <v>20571428.571428601</v>
      </c>
      <c r="Y22" s="315"/>
      <c r="Z22" s="315"/>
      <c r="AA22" s="315"/>
      <c r="AB22" s="315"/>
      <c r="AC22" s="111">
        <v>3000000</v>
      </c>
      <c r="AD22" s="111">
        <v>3000000</v>
      </c>
      <c r="AE22" s="111"/>
      <c r="AF22" s="111"/>
      <c r="AG22" s="111"/>
      <c r="AH22" s="111"/>
      <c r="AI22" s="111"/>
      <c r="AJ22" s="111"/>
      <c r="AK22" s="111"/>
      <c r="AL22" s="111"/>
      <c r="AM22" s="111"/>
      <c r="AN22" s="111"/>
      <c r="AO22" s="111"/>
      <c r="AP22" s="111"/>
      <c r="AQ22" s="108" t="s">
        <v>431</v>
      </c>
      <c r="AR22" s="108" t="s">
        <v>431</v>
      </c>
      <c r="AS22" s="810"/>
    </row>
    <row r="23" spans="1:61" s="1" customFormat="1" ht="75.75" customHeight="1">
      <c r="A23" s="714"/>
      <c r="B23" s="714"/>
      <c r="C23" s="714"/>
      <c r="D23" s="714"/>
      <c r="E23" s="714"/>
      <c r="F23" s="714"/>
      <c r="G23" s="714"/>
      <c r="H23" s="714"/>
      <c r="I23" s="714"/>
      <c r="J23" s="709"/>
      <c r="K23" s="709"/>
      <c r="L23" s="106"/>
      <c r="M23" s="710"/>
      <c r="N23" s="107" t="s">
        <v>423</v>
      </c>
      <c r="O23" s="108">
        <v>6</v>
      </c>
      <c r="P23" s="108" t="s">
        <v>17</v>
      </c>
      <c r="Q23" s="108">
        <v>1</v>
      </c>
      <c r="R23" s="108">
        <v>2</v>
      </c>
      <c r="S23" s="108">
        <v>2</v>
      </c>
      <c r="T23" s="108">
        <v>1</v>
      </c>
      <c r="U23" s="1090"/>
      <c r="V23" s="1093"/>
      <c r="W23" s="1096"/>
      <c r="X23" s="1096"/>
      <c r="Y23" s="315"/>
      <c r="Z23" s="315"/>
      <c r="AA23" s="315"/>
      <c r="AB23" s="315"/>
      <c r="AC23" s="111">
        <v>3000000</v>
      </c>
      <c r="AD23" s="111">
        <v>3000000</v>
      </c>
      <c r="AE23" s="111"/>
      <c r="AF23" s="111"/>
      <c r="AG23" s="111"/>
      <c r="AH23" s="111"/>
      <c r="AI23" s="111"/>
      <c r="AJ23" s="111"/>
      <c r="AK23" s="111"/>
      <c r="AL23" s="111"/>
      <c r="AM23" s="111"/>
      <c r="AN23" s="111"/>
      <c r="AO23" s="111"/>
      <c r="AP23" s="111"/>
      <c r="AQ23" s="108" t="s">
        <v>431</v>
      </c>
      <c r="AR23" s="108" t="s">
        <v>431</v>
      </c>
      <c r="AS23" s="810"/>
    </row>
    <row r="24" spans="1:61" s="1" customFormat="1" ht="42.75" customHeight="1">
      <c r="A24" s="714"/>
      <c r="B24" s="714"/>
      <c r="C24" s="714"/>
      <c r="D24" s="714"/>
      <c r="E24" s="714"/>
      <c r="F24" s="714"/>
      <c r="G24" s="714"/>
      <c r="H24" s="714"/>
      <c r="I24" s="714"/>
      <c r="J24" s="709"/>
      <c r="K24" s="709"/>
      <c r="L24" s="106"/>
      <c r="M24" s="104" t="s">
        <v>247</v>
      </c>
      <c r="N24" s="107" t="s">
        <v>424</v>
      </c>
      <c r="O24" s="108">
        <v>2</v>
      </c>
      <c r="P24" s="108" t="s">
        <v>17</v>
      </c>
      <c r="Q24" s="108">
        <v>1</v>
      </c>
      <c r="R24" s="108">
        <v>0</v>
      </c>
      <c r="S24" s="108">
        <v>0</v>
      </c>
      <c r="T24" s="108">
        <v>1</v>
      </c>
      <c r="U24" s="109" t="s">
        <v>20</v>
      </c>
      <c r="V24" s="186"/>
      <c r="W24" s="185">
        <v>20571428.571428601</v>
      </c>
      <c r="X24" s="111">
        <f>W24</f>
        <v>20571428.571428601</v>
      </c>
      <c r="Y24" s="315"/>
      <c r="Z24" s="315"/>
      <c r="AA24" s="315"/>
      <c r="AB24" s="315"/>
      <c r="AC24" s="111">
        <v>3000000</v>
      </c>
      <c r="AD24" s="111">
        <v>3000000</v>
      </c>
      <c r="AE24" s="111"/>
      <c r="AF24" s="111"/>
      <c r="AG24" s="111"/>
      <c r="AH24" s="111"/>
      <c r="AI24" s="111"/>
      <c r="AJ24" s="111"/>
      <c r="AK24" s="111"/>
      <c r="AL24" s="111"/>
      <c r="AM24" s="111"/>
      <c r="AN24" s="111"/>
      <c r="AO24" s="111"/>
      <c r="AP24" s="111"/>
      <c r="AQ24" s="108" t="s">
        <v>431</v>
      </c>
      <c r="AR24" s="108" t="s">
        <v>431</v>
      </c>
      <c r="AS24" s="810"/>
    </row>
    <row r="25" spans="1:61" s="1" customFormat="1" ht="42.75" customHeight="1">
      <c r="A25" s="714"/>
      <c r="B25" s="714"/>
      <c r="C25" s="714"/>
      <c r="D25" s="714"/>
      <c r="E25" s="714"/>
      <c r="F25" s="714"/>
      <c r="G25" s="714"/>
      <c r="H25" s="714"/>
      <c r="I25" s="714"/>
      <c r="J25" s="709"/>
      <c r="K25" s="709"/>
      <c r="L25" s="106"/>
      <c r="M25" s="708" t="s">
        <v>248</v>
      </c>
      <c r="N25" s="107" t="s">
        <v>425</v>
      </c>
      <c r="O25" s="108">
        <v>6</v>
      </c>
      <c r="P25" s="108" t="s">
        <v>17</v>
      </c>
      <c r="Q25" s="108">
        <v>1</v>
      </c>
      <c r="R25" s="108">
        <v>2</v>
      </c>
      <c r="S25" s="108">
        <v>2</v>
      </c>
      <c r="T25" s="108">
        <v>1</v>
      </c>
      <c r="U25" s="1088" t="s">
        <v>20</v>
      </c>
      <c r="V25" s="1091"/>
      <c r="W25" s="1094">
        <v>20571428.571428601</v>
      </c>
      <c r="X25" s="1094">
        <f>W25</f>
        <v>20571428.571428601</v>
      </c>
      <c r="Y25" s="315"/>
      <c r="Z25" s="315"/>
      <c r="AA25" s="315"/>
      <c r="AB25" s="315"/>
      <c r="AC25" s="111">
        <v>3000000</v>
      </c>
      <c r="AD25" s="111">
        <v>3000000</v>
      </c>
      <c r="AE25" s="111"/>
      <c r="AF25" s="111"/>
      <c r="AG25" s="111"/>
      <c r="AH25" s="111"/>
      <c r="AI25" s="111"/>
      <c r="AJ25" s="111"/>
      <c r="AK25" s="111"/>
      <c r="AL25" s="111"/>
      <c r="AM25" s="111"/>
      <c r="AN25" s="111"/>
      <c r="AO25" s="111"/>
      <c r="AP25" s="111"/>
      <c r="AQ25" s="108" t="s">
        <v>431</v>
      </c>
      <c r="AR25" s="108" t="s">
        <v>431</v>
      </c>
      <c r="AS25" s="810"/>
    </row>
    <row r="26" spans="1:61" s="1" customFormat="1" ht="63" customHeight="1">
      <c r="A26" s="714"/>
      <c r="B26" s="714"/>
      <c r="C26" s="714"/>
      <c r="D26" s="714"/>
      <c r="E26" s="714"/>
      <c r="F26" s="714"/>
      <c r="G26" s="714"/>
      <c r="H26" s="714"/>
      <c r="I26" s="714"/>
      <c r="J26" s="709"/>
      <c r="K26" s="709"/>
      <c r="L26" s="106"/>
      <c r="M26" s="709"/>
      <c r="N26" s="107" t="s">
        <v>426</v>
      </c>
      <c r="O26" s="108">
        <v>6</v>
      </c>
      <c r="P26" s="108" t="s">
        <v>17</v>
      </c>
      <c r="Q26" s="108">
        <v>1</v>
      </c>
      <c r="R26" s="108">
        <v>2</v>
      </c>
      <c r="S26" s="108">
        <v>2</v>
      </c>
      <c r="T26" s="108">
        <v>1</v>
      </c>
      <c r="U26" s="1089"/>
      <c r="V26" s="1092"/>
      <c r="W26" s="1095"/>
      <c r="X26" s="1095"/>
      <c r="Y26" s="315"/>
      <c r="Z26" s="315"/>
      <c r="AA26" s="315"/>
      <c r="AB26" s="315"/>
      <c r="AC26" s="111">
        <v>3000000</v>
      </c>
      <c r="AD26" s="111">
        <v>3000000</v>
      </c>
      <c r="AE26" s="111"/>
      <c r="AF26" s="111"/>
      <c r="AG26" s="111"/>
      <c r="AH26" s="111"/>
      <c r="AI26" s="111"/>
      <c r="AJ26" s="111"/>
      <c r="AK26" s="111"/>
      <c r="AL26" s="111"/>
      <c r="AM26" s="111"/>
      <c r="AN26" s="111"/>
      <c r="AO26" s="111"/>
      <c r="AP26" s="111"/>
      <c r="AQ26" s="108" t="s">
        <v>431</v>
      </c>
      <c r="AR26" s="108" t="s">
        <v>431</v>
      </c>
      <c r="AS26" s="810"/>
    </row>
    <row r="27" spans="1:61" s="1" customFormat="1" ht="96" customHeight="1">
      <c r="A27" s="714"/>
      <c r="B27" s="714"/>
      <c r="C27" s="714"/>
      <c r="D27" s="714"/>
      <c r="E27" s="714"/>
      <c r="F27" s="714"/>
      <c r="G27" s="714"/>
      <c r="H27" s="714"/>
      <c r="I27" s="714"/>
      <c r="J27" s="709"/>
      <c r="K27" s="709"/>
      <c r="L27" s="106"/>
      <c r="M27" s="710"/>
      <c r="N27" s="107" t="s">
        <v>427</v>
      </c>
      <c r="O27" s="108">
        <v>6</v>
      </c>
      <c r="P27" s="108" t="s">
        <v>17</v>
      </c>
      <c r="Q27" s="108">
        <v>1</v>
      </c>
      <c r="R27" s="108">
        <v>2</v>
      </c>
      <c r="S27" s="108">
        <v>2</v>
      </c>
      <c r="T27" s="108">
        <v>1</v>
      </c>
      <c r="U27" s="1090"/>
      <c r="V27" s="1093"/>
      <c r="W27" s="1096"/>
      <c r="X27" s="1096"/>
      <c r="Y27" s="315"/>
      <c r="Z27" s="315"/>
      <c r="AA27" s="315"/>
      <c r="AB27" s="315"/>
      <c r="AC27" s="111">
        <v>3000000</v>
      </c>
      <c r="AD27" s="111">
        <v>3000000</v>
      </c>
      <c r="AE27" s="111"/>
      <c r="AF27" s="111"/>
      <c r="AG27" s="111"/>
      <c r="AH27" s="111"/>
      <c r="AI27" s="111"/>
      <c r="AJ27" s="111"/>
      <c r="AK27" s="111"/>
      <c r="AL27" s="111"/>
      <c r="AM27" s="111"/>
      <c r="AN27" s="111"/>
      <c r="AO27" s="111"/>
      <c r="AP27" s="111"/>
      <c r="AQ27" s="108" t="s">
        <v>431</v>
      </c>
      <c r="AR27" s="108" t="s">
        <v>431</v>
      </c>
      <c r="AS27" s="810"/>
    </row>
    <row r="28" spans="1:61" s="1" customFormat="1" ht="126" customHeight="1">
      <c r="A28" s="714"/>
      <c r="B28" s="714"/>
      <c r="C28" s="714"/>
      <c r="D28" s="714"/>
      <c r="E28" s="714"/>
      <c r="F28" s="714"/>
      <c r="G28" s="714"/>
      <c r="H28" s="714"/>
      <c r="I28" s="714"/>
      <c r="J28" s="709"/>
      <c r="K28" s="709"/>
      <c r="L28" s="106"/>
      <c r="M28" s="108" t="s">
        <v>249</v>
      </c>
      <c r="N28" s="107" t="s">
        <v>428</v>
      </c>
      <c r="O28" s="108">
        <v>10</v>
      </c>
      <c r="P28" s="108" t="s">
        <v>17</v>
      </c>
      <c r="Q28" s="108">
        <v>1</v>
      </c>
      <c r="R28" s="108">
        <v>3</v>
      </c>
      <c r="S28" s="108">
        <v>3</v>
      </c>
      <c r="T28" s="108">
        <v>3</v>
      </c>
      <c r="U28" s="109" t="s">
        <v>20</v>
      </c>
      <c r="V28" s="110"/>
      <c r="W28" s="111">
        <v>20571428.571428601</v>
      </c>
      <c r="X28" s="111">
        <f t="shared" si="0"/>
        <v>20571428.571428601</v>
      </c>
      <c r="Y28" s="315"/>
      <c r="Z28" s="315"/>
      <c r="AA28" s="315"/>
      <c r="AB28" s="315"/>
      <c r="AC28" s="111">
        <v>3000000</v>
      </c>
      <c r="AD28" s="111">
        <v>3000000</v>
      </c>
      <c r="AE28" s="111"/>
      <c r="AF28" s="111"/>
      <c r="AG28" s="111"/>
      <c r="AH28" s="111"/>
      <c r="AI28" s="111"/>
      <c r="AJ28" s="111"/>
      <c r="AK28" s="111"/>
      <c r="AL28" s="111"/>
      <c r="AM28" s="111"/>
      <c r="AN28" s="111"/>
      <c r="AO28" s="111"/>
      <c r="AP28" s="111"/>
      <c r="AQ28" s="108" t="s">
        <v>431</v>
      </c>
      <c r="AR28" s="108" t="s">
        <v>431</v>
      </c>
      <c r="AS28" s="810"/>
    </row>
    <row r="29" spans="1:61" s="1" customFormat="1" ht="75" customHeight="1" thickBot="1">
      <c r="A29" s="746"/>
      <c r="B29" s="746"/>
      <c r="C29" s="746"/>
      <c r="D29" s="746"/>
      <c r="E29" s="746"/>
      <c r="F29" s="746"/>
      <c r="G29" s="746"/>
      <c r="H29" s="746"/>
      <c r="I29" s="746"/>
      <c r="J29" s="724"/>
      <c r="K29" s="724"/>
      <c r="L29" s="116"/>
      <c r="M29" s="115" t="s">
        <v>250</v>
      </c>
      <c r="N29" s="117" t="s">
        <v>429</v>
      </c>
      <c r="O29" s="108">
        <v>10</v>
      </c>
      <c r="P29" s="108" t="s">
        <v>17</v>
      </c>
      <c r="Q29" s="108">
        <v>1</v>
      </c>
      <c r="R29" s="108">
        <v>3</v>
      </c>
      <c r="S29" s="108">
        <v>3</v>
      </c>
      <c r="T29" s="108">
        <v>3</v>
      </c>
      <c r="U29" s="115" t="s">
        <v>20</v>
      </c>
      <c r="V29" s="225"/>
      <c r="W29" s="222">
        <v>20571428.571428601</v>
      </c>
      <c r="X29" s="111">
        <f t="shared" si="0"/>
        <v>20571428.571428601</v>
      </c>
      <c r="Y29" s="315"/>
      <c r="Z29" s="315"/>
      <c r="AA29" s="315"/>
      <c r="AB29" s="315"/>
      <c r="AC29" s="111">
        <v>3000000</v>
      </c>
      <c r="AD29" s="111">
        <v>3000000</v>
      </c>
      <c r="AE29" s="111"/>
      <c r="AF29" s="111"/>
      <c r="AG29" s="111"/>
      <c r="AH29" s="111"/>
      <c r="AI29" s="111"/>
      <c r="AJ29" s="111"/>
      <c r="AK29" s="111"/>
      <c r="AL29" s="111"/>
      <c r="AM29" s="111"/>
      <c r="AN29" s="111"/>
      <c r="AO29" s="111"/>
      <c r="AP29" s="111"/>
      <c r="AQ29" s="108" t="s">
        <v>431</v>
      </c>
      <c r="AR29" s="108" t="s">
        <v>431</v>
      </c>
      <c r="AS29" s="811"/>
    </row>
    <row r="30" spans="1:61" s="1" customFormat="1" ht="52.5" customHeight="1">
      <c r="A30" s="1085" t="s">
        <v>607</v>
      </c>
      <c r="B30" s="1086"/>
      <c r="C30" s="1086"/>
      <c r="D30" s="1086"/>
      <c r="E30" s="1086"/>
      <c r="F30" s="1086"/>
      <c r="G30" s="1086"/>
      <c r="H30" s="1086"/>
      <c r="I30" s="1086"/>
      <c r="J30" s="1086"/>
      <c r="K30" s="1086"/>
      <c r="L30" s="1086"/>
      <c r="M30" s="1086"/>
      <c r="N30" s="1087"/>
      <c r="O30" s="54">
        <f>SUM(O19:O29)</f>
        <v>76</v>
      </c>
      <c r="P30" s="54" t="s">
        <v>17</v>
      </c>
      <c r="Q30" s="54">
        <f>SUM(Q19:Q29)</f>
        <v>13</v>
      </c>
      <c r="R30" s="54">
        <f t="shared" ref="R30:T30" si="4">SUM(R19:R29)</f>
        <v>23</v>
      </c>
      <c r="S30" s="54">
        <f t="shared" si="4"/>
        <v>23</v>
      </c>
      <c r="T30" s="54">
        <f t="shared" si="4"/>
        <v>17</v>
      </c>
      <c r="U30" s="61"/>
      <c r="V30" s="57"/>
      <c r="W30" s="58">
        <f>SUM(W19:W29)</f>
        <v>144000000.00000021</v>
      </c>
      <c r="X30" s="58">
        <f>SUM(X19:X29)</f>
        <v>144000000.00000021</v>
      </c>
      <c r="Y30" s="54">
        <f>SUM(Y19:Y29)</f>
        <v>0</v>
      </c>
      <c r="Z30" s="54">
        <f t="shared" ref="Z30:AB30" si="5">SUM(Z19:Z29)</f>
        <v>0</v>
      </c>
      <c r="AA30" s="54">
        <f t="shared" si="5"/>
        <v>0</v>
      </c>
      <c r="AB30" s="54">
        <f t="shared" si="5"/>
        <v>0</v>
      </c>
      <c r="AC30" s="58">
        <f>SUM(AC19:AC29)</f>
        <v>33000000</v>
      </c>
      <c r="AD30" s="58">
        <f t="shared" ref="AD30:AH30" si="6">SUM(AD19:AD29)</f>
        <v>33000000</v>
      </c>
      <c r="AE30" s="58">
        <f t="shared" si="6"/>
        <v>0</v>
      </c>
      <c r="AF30" s="58">
        <f t="shared" si="6"/>
        <v>0</v>
      </c>
      <c r="AG30" s="58">
        <f t="shared" si="6"/>
        <v>0</v>
      </c>
      <c r="AH30" s="58">
        <f t="shared" si="6"/>
        <v>0</v>
      </c>
      <c r="AI30" s="58"/>
      <c r="AJ30" s="58"/>
      <c r="AK30" s="58"/>
      <c r="AL30" s="58"/>
      <c r="AM30" s="58"/>
      <c r="AN30" s="58"/>
      <c r="AO30" s="58"/>
      <c r="AP30" s="58"/>
      <c r="AQ30" s="54"/>
      <c r="AR30" s="54"/>
    </row>
    <row r="31" spans="1:61" s="1" customFormat="1">
      <c r="A31" s="3"/>
      <c r="B31" s="3"/>
      <c r="C31" s="3"/>
      <c r="D31" s="3"/>
      <c r="E31" s="3"/>
      <c r="F31" s="3"/>
      <c r="G31" s="3"/>
      <c r="H31" s="3"/>
      <c r="I31" s="3"/>
      <c r="N31" s="5"/>
      <c r="O31" s="3"/>
      <c r="P31" s="3"/>
      <c r="Q31" s="3"/>
      <c r="R31" s="3"/>
      <c r="S31" s="3"/>
      <c r="T31" s="3"/>
      <c r="U31" s="3">
        <v>90692582256</v>
      </c>
      <c r="V31" s="3"/>
      <c r="W31" s="7"/>
      <c r="X31" s="8"/>
      <c r="Y31" s="8"/>
      <c r="Z31" s="8"/>
      <c r="AA31" s="8"/>
      <c r="AB31" s="8"/>
      <c r="AC31" s="8"/>
      <c r="AD31" s="8"/>
      <c r="AE31" s="8"/>
      <c r="AF31" s="8"/>
      <c r="AG31" s="8"/>
      <c r="AH31" s="8"/>
      <c r="AI31" s="8"/>
      <c r="AJ31" s="8"/>
      <c r="AK31" s="8"/>
      <c r="AL31" s="8"/>
      <c r="AM31" s="8"/>
      <c r="AN31" s="8"/>
      <c r="AO31" s="8"/>
      <c r="AP31" s="8"/>
      <c r="AQ31" s="3"/>
      <c r="AR31" s="3"/>
    </row>
    <row r="32" spans="1:61" s="1" customFormat="1">
      <c r="A32" s="3"/>
      <c r="B32" s="3"/>
      <c r="C32" s="3"/>
      <c r="D32" s="3"/>
      <c r="E32" s="3"/>
      <c r="F32" s="3"/>
      <c r="G32" s="3"/>
      <c r="H32" s="3"/>
      <c r="I32" s="3"/>
      <c r="N32" s="5"/>
      <c r="O32" s="3"/>
      <c r="P32" s="3"/>
      <c r="Q32" s="3"/>
      <c r="R32" s="3"/>
      <c r="S32" s="3"/>
      <c r="T32" s="3"/>
      <c r="U32" s="3">
        <v>59707696938</v>
      </c>
      <c r="V32" s="3"/>
      <c r="W32" s="7"/>
      <c r="X32" s="11" t="e">
        <f>#REF!-#REF!</f>
        <v>#REF!</v>
      </c>
      <c r="Y32" s="11"/>
      <c r="Z32" s="11"/>
      <c r="AA32" s="11"/>
      <c r="AB32" s="11"/>
      <c r="AC32" s="11"/>
      <c r="AD32" s="11"/>
      <c r="AE32" s="11"/>
      <c r="AF32" s="11"/>
      <c r="AG32" s="11"/>
      <c r="AH32" s="11"/>
      <c r="AI32" s="11"/>
      <c r="AJ32" s="11"/>
      <c r="AK32" s="11"/>
      <c r="AL32" s="11"/>
      <c r="AM32" s="11"/>
      <c r="AN32" s="11"/>
      <c r="AO32" s="11"/>
      <c r="AP32" s="11"/>
      <c r="AQ32" s="3"/>
      <c r="AR32" s="3"/>
    </row>
    <row r="33" spans="1:44" s="1" customFormat="1">
      <c r="A33" s="3"/>
      <c r="B33" s="3"/>
      <c r="C33" s="3"/>
      <c r="D33" s="3"/>
      <c r="E33" s="3"/>
      <c r="F33" s="3"/>
      <c r="G33" s="3"/>
      <c r="H33" s="3"/>
      <c r="M33" s="5"/>
      <c r="N33" s="3"/>
      <c r="O33" s="3"/>
      <c r="P33" s="3"/>
      <c r="Q33" s="3"/>
      <c r="R33" s="3"/>
      <c r="S33" s="3"/>
      <c r="T33" s="3"/>
      <c r="U33" s="3">
        <f>+U31-U32</f>
        <v>30984885318</v>
      </c>
      <c r="V33" s="3"/>
      <c r="W33" s="7"/>
      <c r="X33" s="7"/>
      <c r="Y33" s="7"/>
      <c r="Z33" s="7"/>
      <c r="AA33" s="7"/>
      <c r="AB33" s="7"/>
      <c r="AC33" s="7"/>
      <c r="AD33" s="7"/>
      <c r="AE33" s="7"/>
      <c r="AF33" s="7"/>
      <c r="AG33" s="7"/>
      <c r="AH33" s="7"/>
      <c r="AI33" s="7"/>
      <c r="AJ33" s="7"/>
      <c r="AK33" s="7"/>
      <c r="AL33" s="7"/>
      <c r="AM33" s="7"/>
      <c r="AN33" s="7"/>
      <c r="AO33" s="7"/>
      <c r="AP33" s="7"/>
      <c r="AQ33" s="3"/>
      <c r="AR33" s="3"/>
    </row>
    <row r="34" spans="1:44" s="1" customFormat="1" ht="15">
      <c r="A34" s="987" t="s">
        <v>601</v>
      </c>
      <c r="B34" s="987"/>
      <c r="C34" s="987"/>
      <c r="D34" s="987"/>
      <c r="E34" s="987"/>
      <c r="F34" s="987"/>
      <c r="G34" s="987"/>
      <c r="H34" s="987"/>
      <c r="I34" s="987"/>
      <c r="J34" s="987"/>
      <c r="K34" s="987"/>
      <c r="L34" s="987"/>
      <c r="M34" s="987"/>
      <c r="N34" s="987"/>
      <c r="O34" s="987"/>
      <c r="P34" s="3"/>
      <c r="Q34" s="3"/>
      <c r="R34" s="3"/>
      <c r="S34" s="3"/>
      <c r="T34" s="3"/>
      <c r="U34" s="3"/>
      <c r="V34" s="3"/>
      <c r="W34" s="7"/>
      <c r="X34" s="7"/>
      <c r="Y34" s="7"/>
      <c r="Z34" s="7"/>
      <c r="AA34" s="7"/>
      <c r="AB34" s="7"/>
      <c r="AC34" s="7"/>
      <c r="AD34" s="7"/>
      <c r="AE34" s="7"/>
      <c r="AF34" s="7"/>
      <c r="AG34" s="7"/>
      <c r="AH34" s="7"/>
      <c r="AI34" s="7"/>
      <c r="AJ34" s="7"/>
      <c r="AK34" s="7"/>
      <c r="AL34" s="7"/>
      <c r="AM34" s="7"/>
      <c r="AN34" s="7"/>
      <c r="AO34" s="7"/>
      <c r="AP34" s="7"/>
      <c r="AQ34" s="3"/>
      <c r="AR34" s="3"/>
    </row>
    <row r="35" spans="1:44" s="1" customFormat="1" ht="60">
      <c r="A35" s="269" t="s">
        <v>598</v>
      </c>
      <c r="B35" s="270" t="s">
        <v>587</v>
      </c>
      <c r="C35" s="270" t="s">
        <v>588</v>
      </c>
      <c r="D35" s="270" t="s">
        <v>589</v>
      </c>
      <c r="E35" s="270" t="s">
        <v>590</v>
      </c>
      <c r="F35" s="270" t="s">
        <v>589</v>
      </c>
      <c r="G35" s="270" t="s">
        <v>591</v>
      </c>
      <c r="H35" s="270" t="s">
        <v>589</v>
      </c>
      <c r="I35" s="270"/>
      <c r="J35" s="271"/>
      <c r="K35" s="271"/>
      <c r="L35" s="271"/>
      <c r="M35" s="270" t="s">
        <v>589</v>
      </c>
      <c r="N35" s="270" t="s">
        <v>592</v>
      </c>
      <c r="O35" s="270" t="s">
        <v>589</v>
      </c>
      <c r="P35" s="3"/>
      <c r="Q35" s="3"/>
      <c r="R35" s="3"/>
      <c r="S35" s="3"/>
      <c r="T35" s="3"/>
      <c r="U35" s="3"/>
      <c r="V35" s="3"/>
      <c r="W35" s="7"/>
      <c r="X35" s="7" t="e">
        <f>#REF!-X37</f>
        <v>#REF!</v>
      </c>
      <c r="Y35" s="7"/>
      <c r="Z35" s="7"/>
      <c r="AA35" s="7"/>
      <c r="AB35" s="7"/>
      <c r="AC35" s="7"/>
      <c r="AD35" s="7"/>
      <c r="AE35" s="7"/>
      <c r="AF35" s="7"/>
      <c r="AG35" s="7"/>
      <c r="AH35" s="7"/>
      <c r="AI35" s="7"/>
      <c r="AJ35" s="7"/>
      <c r="AK35" s="7"/>
      <c r="AL35" s="7"/>
      <c r="AM35" s="7"/>
      <c r="AN35" s="7"/>
      <c r="AO35" s="7"/>
      <c r="AP35" s="7"/>
      <c r="AQ35" s="3"/>
      <c r="AR35" s="3"/>
    </row>
    <row r="36" spans="1:44" s="1" customFormat="1">
      <c r="A36" s="259" t="s">
        <v>599</v>
      </c>
      <c r="B36" s="259">
        <f>O18</f>
        <v>62</v>
      </c>
      <c r="C36" s="259">
        <f>Y18</f>
        <v>0</v>
      </c>
      <c r="D36" s="266">
        <f>B36*C36/100</f>
        <v>0</v>
      </c>
      <c r="E36" s="259">
        <f>Z18</f>
        <v>0</v>
      </c>
      <c r="F36" s="266">
        <f>B36*E36/100</f>
        <v>0</v>
      </c>
      <c r="G36" s="259">
        <f>AA18</f>
        <v>0</v>
      </c>
      <c r="H36" s="266">
        <f>B36*G36/100</f>
        <v>0</v>
      </c>
      <c r="I36" s="260"/>
      <c r="J36" s="260"/>
      <c r="K36" s="260"/>
      <c r="L36" s="260"/>
      <c r="M36" s="261"/>
      <c r="N36" s="259">
        <f>AB18</f>
        <v>0</v>
      </c>
      <c r="O36" s="266">
        <f>B36*N36/100</f>
        <v>0</v>
      </c>
      <c r="P36" s="3"/>
      <c r="Q36" s="3"/>
      <c r="R36" s="3"/>
      <c r="S36" s="3"/>
      <c r="T36" s="3"/>
      <c r="U36" s="13" t="e">
        <f>U32-#REF!</f>
        <v>#REF!</v>
      </c>
      <c r="V36" s="3"/>
      <c r="W36" s="7"/>
      <c r="X36" s="7"/>
      <c r="Y36" s="7"/>
      <c r="Z36" s="7"/>
      <c r="AA36" s="7"/>
      <c r="AB36" s="7"/>
      <c r="AC36" s="7"/>
      <c r="AD36" s="7"/>
      <c r="AE36" s="7"/>
      <c r="AF36" s="7"/>
      <c r="AG36" s="7"/>
      <c r="AH36" s="7"/>
      <c r="AI36" s="7"/>
      <c r="AJ36" s="7"/>
      <c r="AK36" s="7"/>
      <c r="AL36" s="7"/>
      <c r="AM36" s="7"/>
      <c r="AN36" s="7"/>
      <c r="AO36" s="7"/>
      <c r="AP36" s="7"/>
      <c r="AQ36" s="3"/>
      <c r="AR36" s="3"/>
    </row>
    <row r="37" spans="1:44" s="1" customFormat="1" ht="23.25">
      <c r="A37" s="3"/>
      <c r="B37" s="3"/>
      <c r="C37" s="3"/>
      <c r="D37" s="3"/>
      <c r="E37" s="3"/>
      <c r="F37" s="3"/>
      <c r="G37" s="3"/>
      <c r="H37" s="3"/>
      <c r="M37" s="5"/>
      <c r="N37" s="3"/>
      <c r="O37" s="3"/>
      <c r="P37" s="3"/>
      <c r="Q37" s="3"/>
      <c r="R37" s="3"/>
      <c r="S37" s="3"/>
      <c r="T37" s="3"/>
      <c r="U37" s="3"/>
      <c r="V37" s="3"/>
      <c r="W37" s="7"/>
      <c r="X37" s="12">
        <v>90692582257</v>
      </c>
      <c r="Y37" s="245"/>
      <c r="Z37" s="245"/>
      <c r="AA37" s="245"/>
      <c r="AB37" s="245"/>
      <c r="AC37" s="245"/>
      <c r="AD37" s="245"/>
      <c r="AE37" s="245"/>
      <c r="AF37" s="245"/>
      <c r="AG37" s="245"/>
      <c r="AH37" s="245"/>
      <c r="AI37" s="245"/>
      <c r="AJ37" s="245"/>
      <c r="AK37" s="245"/>
      <c r="AL37" s="245"/>
      <c r="AM37" s="245"/>
      <c r="AN37" s="245"/>
      <c r="AO37" s="245"/>
      <c r="AP37" s="245"/>
      <c r="AQ37" s="13" t="e">
        <f>X37-#REF!</f>
        <v>#REF!</v>
      </c>
      <c r="AR37" s="3"/>
    </row>
    <row r="38" spans="1:44" s="1" customFormat="1" ht="15">
      <c r="A38" s="988" t="s">
        <v>602</v>
      </c>
      <c r="B38" s="988"/>
      <c r="C38" s="988"/>
      <c r="D38" s="988"/>
      <c r="E38" s="988"/>
      <c r="F38" s="988"/>
      <c r="G38" s="988"/>
      <c r="H38" s="988"/>
      <c r="I38" s="988"/>
      <c r="J38" s="988"/>
      <c r="K38" s="988"/>
      <c r="L38" s="988"/>
      <c r="M38" s="988"/>
      <c r="N38" s="988"/>
      <c r="O38" s="3"/>
      <c r="P38" s="3"/>
      <c r="Q38" s="3"/>
      <c r="R38" s="3"/>
      <c r="S38" s="3"/>
      <c r="T38" s="3"/>
      <c r="U38" s="3"/>
      <c r="V38" s="3"/>
      <c r="W38" s="7"/>
      <c r="X38" s="7"/>
      <c r="Y38" s="7"/>
      <c r="Z38" s="7"/>
      <c r="AA38" s="7"/>
      <c r="AB38" s="7"/>
      <c r="AC38" s="7"/>
      <c r="AD38" s="7"/>
      <c r="AE38" s="7"/>
      <c r="AF38" s="7"/>
      <c r="AG38" s="7"/>
      <c r="AH38" s="7"/>
      <c r="AI38" s="7"/>
      <c r="AJ38" s="7"/>
      <c r="AK38" s="7"/>
      <c r="AL38" s="7"/>
      <c r="AM38" s="7"/>
      <c r="AN38" s="7"/>
      <c r="AO38" s="7"/>
      <c r="AP38" s="7"/>
      <c r="AQ38" s="3"/>
      <c r="AR38" s="3"/>
    </row>
    <row r="39" spans="1:44" s="1" customFormat="1" ht="45">
      <c r="A39" s="267" t="s">
        <v>593</v>
      </c>
      <c r="B39" s="267" t="s">
        <v>594</v>
      </c>
      <c r="C39" s="267" t="s">
        <v>589</v>
      </c>
      <c r="D39" s="267" t="s">
        <v>595</v>
      </c>
      <c r="E39" s="267" t="s">
        <v>589</v>
      </c>
      <c r="F39" s="267" t="s">
        <v>596</v>
      </c>
      <c r="G39" s="267" t="s">
        <v>589</v>
      </c>
      <c r="H39" s="267" t="s">
        <v>597</v>
      </c>
      <c r="I39" s="268"/>
      <c r="J39" s="268"/>
      <c r="K39" s="268"/>
      <c r="L39" s="268"/>
      <c r="M39" s="267" t="s">
        <v>597</v>
      </c>
      <c r="N39" s="267" t="s">
        <v>589</v>
      </c>
      <c r="O39" s="3"/>
      <c r="P39" s="3"/>
      <c r="Q39" s="3"/>
      <c r="R39" s="3"/>
      <c r="S39" s="3"/>
      <c r="T39" s="3"/>
      <c r="U39" s="13" t="e">
        <f>#REF!-U32</f>
        <v>#REF!</v>
      </c>
      <c r="V39" s="3"/>
      <c r="W39" s="7"/>
      <c r="X39" s="7"/>
      <c r="Y39" s="7"/>
      <c r="Z39" s="7"/>
      <c r="AA39" s="7"/>
      <c r="AB39" s="7"/>
      <c r="AC39" s="7"/>
      <c r="AD39" s="7"/>
      <c r="AE39" s="7"/>
      <c r="AF39" s="7"/>
      <c r="AG39" s="7"/>
      <c r="AH39" s="7"/>
      <c r="AI39" s="7"/>
      <c r="AJ39" s="7"/>
      <c r="AK39" s="7"/>
      <c r="AL39" s="7"/>
      <c r="AM39" s="7"/>
      <c r="AN39" s="7"/>
      <c r="AO39" s="7"/>
      <c r="AP39" s="7"/>
      <c r="AQ39" s="3"/>
      <c r="AR39" s="3"/>
    </row>
    <row r="40" spans="1:44" s="1" customFormat="1">
      <c r="A40" s="263">
        <f>X18</f>
        <v>178665784.3152</v>
      </c>
      <c r="B40" s="263">
        <f>AC18</f>
        <v>33897654</v>
      </c>
      <c r="C40" s="266">
        <f>A40*B40/100</f>
        <v>60563509383552.773</v>
      </c>
      <c r="D40" s="263">
        <f>AD18</f>
        <v>33897654</v>
      </c>
      <c r="E40" s="266">
        <f>A40*D40/100</f>
        <v>60563509383552.773</v>
      </c>
      <c r="F40" s="263">
        <f>AE18</f>
        <v>0</v>
      </c>
      <c r="G40" s="266">
        <f>A40*F40/100</f>
        <v>0</v>
      </c>
      <c r="H40" s="263">
        <f>AF18</f>
        <v>0</v>
      </c>
      <c r="I40" s="260"/>
      <c r="J40" s="260"/>
      <c r="K40" s="260"/>
      <c r="L40" s="260"/>
      <c r="M40" s="275">
        <f>AE20</f>
        <v>0</v>
      </c>
      <c r="N40" s="266">
        <f>A40*H40/100</f>
        <v>0</v>
      </c>
      <c r="O40" s="3"/>
      <c r="P40" s="3"/>
      <c r="Q40" s="3"/>
      <c r="R40" s="3"/>
      <c r="S40" s="3"/>
      <c r="T40" s="3"/>
      <c r="U40" s="3"/>
      <c r="V40" s="3"/>
      <c r="W40" s="7"/>
      <c r="X40" s="7"/>
      <c r="Y40" s="7"/>
      <c r="Z40" s="7"/>
      <c r="AA40" s="7"/>
      <c r="AB40" s="7"/>
      <c r="AC40" s="7"/>
      <c r="AD40" s="7"/>
      <c r="AE40" s="7"/>
      <c r="AF40" s="7"/>
      <c r="AG40" s="7"/>
      <c r="AH40" s="7"/>
      <c r="AI40" s="7"/>
      <c r="AJ40" s="7"/>
      <c r="AK40" s="7"/>
      <c r="AL40" s="7"/>
      <c r="AM40" s="7"/>
      <c r="AN40" s="7"/>
      <c r="AO40" s="7"/>
      <c r="AP40" s="7"/>
      <c r="AQ40" s="3"/>
      <c r="AR40" s="3"/>
    </row>
    <row r="41" spans="1:44" s="1" customFormat="1">
      <c r="A41" s="259"/>
      <c r="B41" s="259"/>
      <c r="C41" s="259"/>
      <c r="D41" s="259"/>
      <c r="E41" s="259"/>
      <c r="F41" s="259"/>
      <c r="G41" s="259"/>
      <c r="H41" s="259"/>
      <c r="I41" s="260"/>
      <c r="J41" s="260"/>
      <c r="K41" s="260"/>
      <c r="L41" s="260"/>
      <c r="M41" s="261"/>
      <c r="N41" s="259"/>
      <c r="O41" s="3"/>
      <c r="P41" s="3"/>
      <c r="Q41" s="3"/>
      <c r="R41" s="3"/>
      <c r="S41" s="3"/>
      <c r="T41" s="3"/>
      <c r="U41" s="3"/>
      <c r="V41" s="3"/>
      <c r="W41" s="7"/>
      <c r="X41" s="7"/>
      <c r="Y41" s="7"/>
      <c r="Z41" s="7"/>
      <c r="AA41" s="7"/>
      <c r="AB41" s="7"/>
      <c r="AC41" s="7"/>
      <c r="AD41" s="7"/>
      <c r="AE41" s="7"/>
      <c r="AF41" s="7"/>
      <c r="AG41" s="7"/>
      <c r="AH41" s="7"/>
      <c r="AI41" s="7"/>
      <c r="AJ41" s="7"/>
      <c r="AK41" s="7"/>
      <c r="AL41" s="7"/>
      <c r="AM41" s="7"/>
      <c r="AN41" s="7"/>
      <c r="AO41" s="7"/>
      <c r="AP41" s="7"/>
      <c r="AQ41" s="3"/>
      <c r="AR41" s="3"/>
    </row>
    <row r="42" spans="1:44" s="1" customFormat="1">
      <c r="A42" s="3"/>
      <c r="B42" s="3"/>
      <c r="C42" s="3"/>
      <c r="D42" s="3"/>
      <c r="E42" s="3"/>
      <c r="F42" s="3"/>
      <c r="G42" s="3"/>
      <c r="H42" s="3"/>
      <c r="M42" s="5"/>
      <c r="N42" s="3"/>
      <c r="O42" s="3"/>
      <c r="P42" s="3"/>
      <c r="Q42" s="3"/>
      <c r="R42" s="3"/>
      <c r="S42" s="3"/>
      <c r="T42" s="3"/>
      <c r="U42" s="3"/>
      <c r="V42" s="3"/>
      <c r="W42" s="7"/>
      <c r="X42" s="7"/>
      <c r="Y42" s="7"/>
      <c r="Z42" s="7"/>
      <c r="AA42" s="7"/>
      <c r="AB42" s="7"/>
      <c r="AC42" s="7"/>
      <c r="AD42" s="7"/>
      <c r="AE42" s="7"/>
      <c r="AF42" s="7"/>
      <c r="AG42" s="7"/>
      <c r="AH42" s="7"/>
      <c r="AI42" s="7"/>
      <c r="AJ42" s="7"/>
      <c r="AK42" s="7"/>
      <c r="AL42" s="7"/>
      <c r="AM42" s="7"/>
      <c r="AN42" s="7"/>
      <c r="AO42" s="7"/>
      <c r="AP42" s="7"/>
      <c r="AQ42" s="3"/>
      <c r="AR42" s="3"/>
    </row>
    <row r="43" spans="1:44" s="1" customFormat="1" ht="15">
      <c r="A43" s="987" t="s">
        <v>603</v>
      </c>
      <c r="B43" s="987"/>
      <c r="C43" s="987"/>
      <c r="D43" s="987"/>
      <c r="E43" s="987"/>
      <c r="F43" s="987"/>
      <c r="G43" s="987"/>
      <c r="H43" s="987"/>
      <c r="I43" s="987"/>
      <c r="J43" s="987"/>
      <c r="K43" s="987"/>
      <c r="L43" s="987"/>
      <c r="M43" s="987"/>
      <c r="N43" s="987"/>
      <c r="O43" s="987"/>
      <c r="P43" s="3"/>
      <c r="Q43" s="3"/>
      <c r="R43" s="3"/>
      <c r="S43" s="3"/>
      <c r="T43" s="3"/>
      <c r="U43" s="3"/>
      <c r="V43" s="3"/>
      <c r="W43" s="7"/>
      <c r="X43" s="7"/>
      <c r="Y43" s="7"/>
      <c r="Z43" s="7"/>
      <c r="AA43" s="7"/>
      <c r="AB43" s="7"/>
      <c r="AC43" s="7"/>
      <c r="AD43" s="7"/>
      <c r="AE43" s="7"/>
      <c r="AF43" s="7"/>
      <c r="AG43" s="7"/>
      <c r="AH43" s="7"/>
      <c r="AI43" s="7"/>
      <c r="AJ43" s="7"/>
      <c r="AK43" s="7"/>
      <c r="AL43" s="7"/>
      <c r="AM43" s="7"/>
      <c r="AN43" s="7"/>
      <c r="AO43" s="7"/>
      <c r="AP43" s="7"/>
      <c r="AQ43" s="3"/>
      <c r="AR43" s="3"/>
    </row>
    <row r="44" spans="1:44" s="1" customFormat="1" ht="60">
      <c r="A44" s="269" t="s">
        <v>598</v>
      </c>
      <c r="B44" s="270" t="s">
        <v>587</v>
      </c>
      <c r="C44" s="270" t="s">
        <v>588</v>
      </c>
      <c r="D44" s="270" t="s">
        <v>589</v>
      </c>
      <c r="E44" s="270" t="s">
        <v>590</v>
      </c>
      <c r="F44" s="270" t="s">
        <v>589</v>
      </c>
      <c r="G44" s="270" t="s">
        <v>591</v>
      </c>
      <c r="H44" s="270" t="s">
        <v>589</v>
      </c>
      <c r="I44" s="270"/>
      <c r="J44" s="271"/>
      <c r="K44" s="271"/>
      <c r="L44" s="271"/>
      <c r="M44" s="270" t="s">
        <v>589</v>
      </c>
      <c r="N44" s="270" t="s">
        <v>592</v>
      </c>
      <c r="O44" s="270" t="s">
        <v>589</v>
      </c>
      <c r="P44" s="3"/>
      <c r="Q44" s="3"/>
      <c r="R44" s="3"/>
      <c r="S44" s="3"/>
      <c r="T44" s="3"/>
      <c r="U44" s="3"/>
      <c r="V44" s="3"/>
      <c r="W44" s="7"/>
      <c r="X44" s="7"/>
      <c r="Y44" s="7"/>
      <c r="Z44" s="7"/>
      <c r="AA44" s="7"/>
      <c r="AB44" s="7"/>
      <c r="AC44" s="7"/>
      <c r="AD44" s="7"/>
      <c r="AE44" s="7"/>
      <c r="AF44" s="7"/>
      <c r="AG44" s="7"/>
      <c r="AH44" s="7"/>
      <c r="AI44" s="7"/>
      <c r="AJ44" s="7"/>
      <c r="AK44" s="7"/>
      <c r="AL44" s="7"/>
      <c r="AM44" s="7"/>
      <c r="AN44" s="7"/>
      <c r="AO44" s="7"/>
      <c r="AP44" s="7"/>
      <c r="AQ44" s="3"/>
      <c r="AR44" s="3"/>
    </row>
    <row r="45" spans="1:44" s="1" customFormat="1">
      <c r="A45" s="259" t="s">
        <v>599</v>
      </c>
      <c r="B45" s="259">
        <f>O30</f>
        <v>76</v>
      </c>
      <c r="C45" s="259">
        <f>Y30</f>
        <v>0</v>
      </c>
      <c r="D45" s="266">
        <f>B45*C45/100</f>
        <v>0</v>
      </c>
      <c r="E45" s="259">
        <f>Z30</f>
        <v>0</v>
      </c>
      <c r="F45" s="266">
        <f>B45*E45/100</f>
        <v>0</v>
      </c>
      <c r="G45" s="259">
        <f>AA30</f>
        <v>0</v>
      </c>
      <c r="H45" s="266">
        <f>B45*G45/100</f>
        <v>0</v>
      </c>
      <c r="I45" s="260"/>
      <c r="J45" s="260"/>
      <c r="K45" s="260"/>
      <c r="L45" s="260"/>
      <c r="M45" s="261"/>
      <c r="N45" s="259">
        <f>AB30</f>
        <v>0</v>
      </c>
      <c r="O45" s="266">
        <f>B45*N45/100</f>
        <v>0</v>
      </c>
      <c r="P45" s="3"/>
      <c r="Q45" s="3"/>
      <c r="R45" s="3"/>
      <c r="S45" s="3"/>
      <c r="T45" s="3"/>
      <c r="U45" s="3"/>
      <c r="V45" s="3"/>
      <c r="W45" s="7"/>
      <c r="X45" s="7"/>
      <c r="Y45" s="7"/>
      <c r="Z45" s="7"/>
      <c r="AA45" s="7"/>
      <c r="AB45" s="7"/>
      <c r="AC45" s="7"/>
      <c r="AD45" s="7"/>
      <c r="AE45" s="7"/>
      <c r="AF45" s="7"/>
      <c r="AG45" s="7"/>
      <c r="AH45" s="7"/>
      <c r="AI45" s="7"/>
      <c r="AJ45" s="7"/>
      <c r="AK45" s="7"/>
      <c r="AL45" s="7"/>
      <c r="AM45" s="7"/>
      <c r="AN45" s="7"/>
      <c r="AO45" s="7"/>
      <c r="AP45" s="7"/>
      <c r="AQ45" s="3"/>
      <c r="AR45" s="3"/>
    </row>
    <row r="46" spans="1:44" s="1" customFormat="1">
      <c r="A46" s="3"/>
      <c r="B46" s="3"/>
      <c r="C46" s="3"/>
      <c r="D46" s="3"/>
      <c r="E46" s="3"/>
      <c r="F46" s="3"/>
      <c r="G46" s="3"/>
      <c r="H46" s="3"/>
      <c r="M46" s="5"/>
      <c r="N46" s="3"/>
      <c r="O46" s="3"/>
      <c r="P46" s="3"/>
      <c r="Q46" s="3"/>
      <c r="R46" s="3"/>
      <c r="S46" s="3"/>
      <c r="T46" s="3"/>
      <c r="U46" s="3"/>
      <c r="V46" s="3"/>
      <c r="W46" s="7"/>
      <c r="X46" s="7"/>
      <c r="Y46" s="7"/>
      <c r="Z46" s="7"/>
      <c r="AA46" s="7"/>
      <c r="AB46" s="7"/>
      <c r="AC46" s="7"/>
      <c r="AD46" s="7"/>
      <c r="AE46" s="7"/>
      <c r="AF46" s="7"/>
      <c r="AG46" s="7"/>
      <c r="AH46" s="7"/>
      <c r="AI46" s="7"/>
      <c r="AJ46" s="7"/>
      <c r="AK46" s="7"/>
      <c r="AL46" s="7"/>
      <c r="AM46" s="7"/>
      <c r="AN46" s="7"/>
      <c r="AO46" s="7"/>
      <c r="AP46" s="7"/>
      <c r="AQ46" s="3"/>
      <c r="AR46" s="3"/>
    </row>
    <row r="47" spans="1:44" s="1" customFormat="1" ht="15">
      <c r="A47" s="988" t="s">
        <v>604</v>
      </c>
      <c r="B47" s="988"/>
      <c r="C47" s="988"/>
      <c r="D47" s="988"/>
      <c r="E47" s="988"/>
      <c r="F47" s="988"/>
      <c r="G47" s="988"/>
      <c r="H47" s="988"/>
      <c r="I47" s="988"/>
      <c r="J47" s="988"/>
      <c r="K47" s="988"/>
      <c r="L47" s="988"/>
      <c r="M47" s="988"/>
      <c r="N47" s="988"/>
      <c r="O47" s="3"/>
      <c r="P47" s="3"/>
      <c r="Q47" s="3"/>
      <c r="R47" s="3"/>
      <c r="S47" s="3"/>
      <c r="T47" s="3"/>
      <c r="U47" s="3"/>
      <c r="V47" s="3"/>
      <c r="W47" s="7"/>
      <c r="X47" s="7"/>
      <c r="Y47" s="7"/>
      <c r="Z47" s="7"/>
      <c r="AA47" s="7"/>
      <c r="AB47" s="7"/>
      <c r="AC47" s="7"/>
      <c r="AD47" s="7"/>
      <c r="AE47" s="7"/>
      <c r="AF47" s="7"/>
      <c r="AG47" s="7"/>
      <c r="AH47" s="7"/>
      <c r="AI47" s="7"/>
      <c r="AJ47" s="7"/>
      <c r="AK47" s="7"/>
      <c r="AL47" s="7"/>
      <c r="AM47" s="7"/>
      <c r="AN47" s="7"/>
      <c r="AO47" s="7"/>
      <c r="AP47" s="7"/>
      <c r="AQ47" s="3"/>
      <c r="AR47" s="3"/>
    </row>
    <row r="48" spans="1:44" s="1" customFormat="1" ht="45">
      <c r="A48" s="267" t="s">
        <v>593</v>
      </c>
      <c r="B48" s="267" t="s">
        <v>594</v>
      </c>
      <c r="C48" s="267" t="s">
        <v>589</v>
      </c>
      <c r="D48" s="267" t="s">
        <v>595</v>
      </c>
      <c r="E48" s="267" t="s">
        <v>589</v>
      </c>
      <c r="F48" s="267" t="s">
        <v>596</v>
      </c>
      <c r="G48" s="267" t="s">
        <v>589</v>
      </c>
      <c r="H48" s="267" t="s">
        <v>597</v>
      </c>
      <c r="I48" s="268"/>
      <c r="J48" s="268"/>
      <c r="K48" s="268"/>
      <c r="L48" s="268"/>
      <c r="M48" s="267" t="s">
        <v>597</v>
      </c>
      <c r="N48" s="267" t="s">
        <v>589</v>
      </c>
      <c r="O48" s="3"/>
      <c r="P48" s="3"/>
      <c r="Q48" s="3"/>
      <c r="R48" s="3"/>
      <c r="S48" s="3"/>
      <c r="T48" s="3"/>
      <c r="U48" s="3"/>
      <c r="V48" s="3"/>
      <c r="W48" s="7"/>
      <c r="X48" s="7"/>
      <c r="Y48" s="7"/>
      <c r="Z48" s="7"/>
      <c r="AA48" s="7"/>
      <c r="AB48" s="7"/>
      <c r="AC48" s="7"/>
      <c r="AD48" s="7"/>
      <c r="AE48" s="7"/>
      <c r="AF48" s="7"/>
      <c r="AG48" s="7"/>
      <c r="AH48" s="7"/>
      <c r="AI48" s="7"/>
      <c r="AJ48" s="7"/>
      <c r="AK48" s="7"/>
      <c r="AL48" s="7"/>
      <c r="AM48" s="7"/>
      <c r="AN48" s="7"/>
      <c r="AO48" s="7"/>
      <c r="AP48" s="7"/>
      <c r="AQ48" s="3"/>
      <c r="AR48" s="3"/>
    </row>
    <row r="49" spans="1:44" s="1" customFormat="1" ht="15">
      <c r="A49" s="272">
        <f>X30</f>
        <v>144000000.00000021</v>
      </c>
      <c r="B49" s="272">
        <f>AC30</f>
        <v>33000000</v>
      </c>
      <c r="C49" s="311">
        <f>A49*B49/100</f>
        <v>47520000000000.07</v>
      </c>
      <c r="D49" s="263">
        <f>AD30</f>
        <v>33000000</v>
      </c>
      <c r="E49" s="312">
        <f>A49*D49/100</f>
        <v>47520000000000.07</v>
      </c>
      <c r="F49" s="263">
        <f>AE30</f>
        <v>0</v>
      </c>
      <c r="G49" s="312">
        <f>A49*F49/100</f>
        <v>0</v>
      </c>
      <c r="H49" s="263">
        <f>AF30</f>
        <v>0</v>
      </c>
      <c r="I49" s="273"/>
      <c r="J49" s="273"/>
      <c r="K49" s="273"/>
      <c r="L49" s="273"/>
      <c r="M49" s="276">
        <f>AE26</f>
        <v>0</v>
      </c>
      <c r="N49" s="312">
        <f>A49*H49/100</f>
        <v>0</v>
      </c>
      <c r="O49" s="3"/>
      <c r="P49" s="3"/>
      <c r="Q49" s="3"/>
      <c r="R49" s="3"/>
      <c r="S49" s="3"/>
      <c r="T49" s="3"/>
      <c r="U49" s="3"/>
      <c r="V49" s="3"/>
      <c r="W49" s="7"/>
      <c r="X49" s="7"/>
      <c r="Y49" s="7"/>
      <c r="Z49" s="7"/>
      <c r="AA49" s="7"/>
      <c r="AB49" s="7"/>
      <c r="AC49" s="7"/>
      <c r="AD49" s="7"/>
      <c r="AE49" s="7"/>
      <c r="AF49" s="7"/>
      <c r="AG49" s="7"/>
      <c r="AH49" s="7"/>
      <c r="AI49" s="7"/>
      <c r="AJ49" s="7"/>
      <c r="AK49" s="7"/>
      <c r="AL49" s="7"/>
      <c r="AM49" s="7"/>
      <c r="AN49" s="7"/>
      <c r="AO49" s="7"/>
      <c r="AP49" s="7"/>
      <c r="AQ49" s="3"/>
      <c r="AR49" s="3"/>
    </row>
    <row r="50" spans="1:44" s="1" customFormat="1">
      <c r="A50" s="259"/>
      <c r="B50" s="259"/>
      <c r="C50" s="259"/>
      <c r="D50" s="259"/>
      <c r="E50" s="259"/>
      <c r="F50" s="259"/>
      <c r="G50" s="259"/>
      <c r="H50" s="259"/>
      <c r="I50" s="260"/>
      <c r="J50" s="260"/>
      <c r="K50" s="260"/>
      <c r="L50" s="260"/>
      <c r="M50" s="261"/>
      <c r="N50" s="259"/>
      <c r="O50" s="3"/>
      <c r="P50" s="3"/>
      <c r="Q50" s="3"/>
      <c r="R50" s="3"/>
      <c r="S50" s="3"/>
      <c r="T50" s="3"/>
      <c r="U50" s="3"/>
      <c r="V50" s="3"/>
      <c r="W50" s="7"/>
      <c r="X50" s="7"/>
      <c r="Y50" s="7"/>
      <c r="Z50" s="7"/>
      <c r="AA50" s="7"/>
      <c r="AB50" s="7"/>
      <c r="AC50" s="7"/>
      <c r="AD50" s="7"/>
      <c r="AE50" s="7"/>
      <c r="AF50" s="7"/>
      <c r="AG50" s="7"/>
      <c r="AH50" s="7"/>
      <c r="AI50" s="7"/>
      <c r="AJ50" s="7"/>
      <c r="AK50" s="7"/>
      <c r="AL50" s="7"/>
      <c r="AM50" s="7"/>
      <c r="AN50" s="7"/>
      <c r="AO50" s="7"/>
      <c r="AP50" s="7"/>
      <c r="AQ50" s="3"/>
      <c r="AR50" s="3"/>
    </row>
    <row r="51" spans="1:44" s="1" customFormat="1">
      <c r="A51" s="3"/>
      <c r="B51" s="3"/>
      <c r="C51" s="3"/>
      <c r="D51" s="3"/>
      <c r="E51" s="3"/>
      <c r="F51" s="3"/>
      <c r="G51" s="3"/>
      <c r="H51" s="3"/>
      <c r="M51" s="5"/>
      <c r="N51" s="3"/>
      <c r="O51" s="3"/>
      <c r="P51" s="3"/>
      <c r="Q51" s="3"/>
      <c r="R51" s="3"/>
      <c r="S51" s="3"/>
      <c r="T51" s="3"/>
      <c r="U51" s="3"/>
      <c r="V51" s="3"/>
      <c r="W51" s="7"/>
      <c r="X51" s="7"/>
      <c r="Y51" s="7"/>
      <c r="Z51" s="7"/>
      <c r="AA51" s="7"/>
      <c r="AB51" s="7"/>
      <c r="AC51" s="7"/>
      <c r="AD51" s="7"/>
      <c r="AE51" s="7"/>
      <c r="AF51" s="7"/>
      <c r="AG51" s="7"/>
      <c r="AH51" s="7"/>
      <c r="AI51" s="7"/>
      <c r="AJ51" s="7"/>
      <c r="AK51" s="7"/>
      <c r="AL51" s="7"/>
      <c r="AM51" s="7"/>
      <c r="AN51" s="7"/>
      <c r="AO51" s="7"/>
      <c r="AP51" s="7"/>
      <c r="AQ51" s="3"/>
      <c r="AR51" s="3"/>
    </row>
    <row r="52" spans="1:44" s="1" customFormat="1">
      <c r="A52" s="3"/>
      <c r="B52" s="3"/>
      <c r="C52" s="3"/>
      <c r="D52" s="3"/>
      <c r="E52" s="3"/>
      <c r="F52" s="3"/>
      <c r="G52" s="3"/>
      <c r="H52" s="3"/>
      <c r="I52" s="2"/>
      <c r="J52" s="2"/>
      <c r="K52" s="2"/>
      <c r="L52" s="2"/>
      <c r="M52" s="5"/>
      <c r="N52" s="3"/>
      <c r="O52" s="3"/>
      <c r="P52" s="3"/>
      <c r="Q52" s="3"/>
      <c r="R52" s="3"/>
      <c r="S52" s="3"/>
      <c r="T52" s="3"/>
      <c r="U52" s="3"/>
      <c r="V52" s="3"/>
      <c r="W52" s="7"/>
      <c r="X52" s="7"/>
      <c r="Y52" s="7"/>
      <c r="Z52" s="7"/>
      <c r="AA52" s="7"/>
      <c r="AB52" s="7"/>
      <c r="AC52" s="7"/>
      <c r="AD52" s="7"/>
      <c r="AE52" s="7"/>
      <c r="AF52" s="7"/>
      <c r="AG52" s="7"/>
      <c r="AH52" s="7"/>
      <c r="AI52" s="7"/>
      <c r="AJ52" s="7"/>
      <c r="AK52" s="7"/>
      <c r="AL52" s="7"/>
      <c r="AM52" s="7"/>
      <c r="AN52" s="7"/>
      <c r="AO52" s="7"/>
      <c r="AP52" s="7"/>
      <c r="AQ52" s="3"/>
      <c r="AR52" s="3"/>
    </row>
    <row r="53" spans="1:44" s="1" customFormat="1" ht="15">
      <c r="A53" s="987" t="s">
        <v>631</v>
      </c>
      <c r="B53" s="987"/>
      <c r="C53" s="987"/>
      <c r="D53" s="987"/>
      <c r="E53" s="987"/>
      <c r="F53" s="987"/>
      <c r="G53" s="987"/>
      <c r="H53" s="987"/>
      <c r="I53" s="987"/>
      <c r="J53" s="987"/>
      <c r="K53" s="987"/>
      <c r="L53" s="987"/>
      <c r="M53" s="987"/>
      <c r="N53" s="987"/>
      <c r="O53" s="987"/>
      <c r="P53" s="3"/>
      <c r="Q53" s="3"/>
      <c r="R53" s="3"/>
      <c r="S53" s="3"/>
      <c r="T53" s="3"/>
      <c r="U53" s="3"/>
      <c r="V53" s="3"/>
      <c r="W53" s="7"/>
      <c r="X53" s="7"/>
      <c r="Y53" s="7"/>
      <c r="Z53" s="7"/>
      <c r="AA53" s="7"/>
      <c r="AB53" s="7"/>
      <c r="AC53" s="7"/>
      <c r="AD53" s="7"/>
      <c r="AE53" s="7"/>
      <c r="AF53" s="7"/>
      <c r="AG53" s="7"/>
      <c r="AH53" s="7"/>
      <c r="AI53" s="7"/>
      <c r="AJ53" s="7"/>
      <c r="AK53" s="7"/>
      <c r="AL53" s="7"/>
      <c r="AM53" s="7"/>
      <c r="AN53" s="7"/>
      <c r="AO53" s="7"/>
      <c r="AP53" s="7"/>
      <c r="AQ53" s="3"/>
      <c r="AR53" s="3"/>
    </row>
    <row r="54" spans="1:44" ht="60">
      <c r="A54" s="269" t="s">
        <v>598</v>
      </c>
      <c r="B54" s="270" t="s">
        <v>587</v>
      </c>
      <c r="C54" s="270" t="s">
        <v>588</v>
      </c>
      <c r="D54" s="270" t="s">
        <v>589</v>
      </c>
      <c r="E54" s="270" t="s">
        <v>590</v>
      </c>
      <c r="F54" s="270" t="s">
        <v>589</v>
      </c>
      <c r="G54" s="270" t="s">
        <v>591</v>
      </c>
      <c r="H54" s="270" t="s">
        <v>589</v>
      </c>
      <c r="I54" s="270"/>
      <c r="J54" s="271"/>
      <c r="K54" s="271"/>
      <c r="L54" s="271"/>
      <c r="M54" s="271"/>
      <c r="N54" s="270" t="s">
        <v>592</v>
      </c>
      <c r="O54" s="270" t="s">
        <v>589</v>
      </c>
    </row>
    <row r="55" spans="1:44">
      <c r="A55" s="259" t="s">
        <v>599</v>
      </c>
      <c r="B55" s="259">
        <f>B45+B36</f>
        <v>138</v>
      </c>
      <c r="C55" s="259">
        <f>C45+C36</f>
        <v>0</v>
      </c>
      <c r="D55" s="266">
        <f>B55*C55/100</f>
        <v>0</v>
      </c>
      <c r="E55" s="259">
        <f>E45+E36</f>
        <v>0</v>
      </c>
      <c r="F55" s="266">
        <f>B55*E55/100</f>
        <v>0</v>
      </c>
      <c r="G55" s="259">
        <f>G45+G36</f>
        <v>0</v>
      </c>
      <c r="H55" s="266">
        <f>B55*G55/100</f>
        <v>0</v>
      </c>
      <c r="I55" s="260"/>
      <c r="J55" s="260"/>
      <c r="K55" s="260"/>
      <c r="L55" s="260"/>
      <c r="M55" s="261"/>
      <c r="N55" s="259">
        <f>N45+N36</f>
        <v>0</v>
      </c>
      <c r="O55" s="266">
        <f>B55*N55/100</f>
        <v>0</v>
      </c>
    </row>
    <row r="56" spans="1:44">
      <c r="I56" s="1"/>
      <c r="J56" s="1"/>
      <c r="K56" s="1"/>
      <c r="L56" s="1"/>
      <c r="M56" s="5"/>
      <c r="N56" s="3"/>
    </row>
    <row r="57" spans="1:44" ht="15">
      <c r="A57" s="988" t="s">
        <v>630</v>
      </c>
      <c r="B57" s="988"/>
      <c r="C57" s="988"/>
      <c r="D57" s="988"/>
      <c r="E57" s="988"/>
      <c r="F57" s="988"/>
      <c r="G57" s="988"/>
      <c r="H57" s="988"/>
      <c r="I57" s="988"/>
      <c r="J57" s="988"/>
      <c r="K57" s="988"/>
      <c r="L57" s="988"/>
      <c r="M57" s="988"/>
      <c r="N57" s="988"/>
    </row>
    <row r="58" spans="1:44" ht="45">
      <c r="A58" s="267" t="s">
        <v>593</v>
      </c>
      <c r="B58" s="267" t="s">
        <v>594</v>
      </c>
      <c r="C58" s="267" t="s">
        <v>589</v>
      </c>
      <c r="D58" s="267" t="s">
        <v>595</v>
      </c>
      <c r="E58" s="267" t="s">
        <v>589</v>
      </c>
      <c r="F58" s="267" t="s">
        <v>596</v>
      </c>
      <c r="G58" s="267" t="s">
        <v>589</v>
      </c>
      <c r="H58" s="267" t="s">
        <v>597</v>
      </c>
      <c r="I58" s="268"/>
      <c r="J58" s="268"/>
      <c r="K58" s="268"/>
      <c r="L58" s="268"/>
      <c r="M58" s="267" t="s">
        <v>597</v>
      </c>
      <c r="N58" s="267" t="s">
        <v>589</v>
      </c>
    </row>
    <row r="59" spans="1:44">
      <c r="A59" s="263">
        <f>A49+A40</f>
        <v>322665784.31520021</v>
      </c>
      <c r="B59" s="263">
        <f>B49+B40</f>
        <v>66897654</v>
      </c>
      <c r="C59" s="264">
        <f>A59*B59/100</f>
        <v>215855839967568.91</v>
      </c>
      <c r="D59" s="263">
        <f>D49+D40</f>
        <v>66897654</v>
      </c>
      <c r="E59" s="266">
        <f>A59*D59/100</f>
        <v>215855839967568.91</v>
      </c>
      <c r="F59" s="263">
        <f>F49+F40</f>
        <v>0</v>
      </c>
      <c r="G59" s="266">
        <f>A59*F59/100</f>
        <v>0</v>
      </c>
      <c r="H59" s="263">
        <f>H49+H40</f>
        <v>0</v>
      </c>
      <c r="I59" s="260"/>
      <c r="J59" s="260"/>
      <c r="K59" s="260"/>
      <c r="L59" s="260"/>
      <c r="M59" s="275" t="e">
        <f>#REF!+M49+M40</f>
        <v>#REF!</v>
      </c>
      <c r="N59" s="266">
        <f>A59*H59/100</f>
        <v>0</v>
      </c>
    </row>
    <row r="60" spans="1:44">
      <c r="A60" s="259"/>
      <c r="B60" s="259"/>
      <c r="C60" s="259"/>
      <c r="D60" s="259"/>
      <c r="E60" s="259"/>
      <c r="F60" s="259"/>
      <c r="G60" s="259"/>
      <c r="H60" s="259"/>
      <c r="I60" s="260"/>
      <c r="J60" s="260"/>
      <c r="K60" s="260"/>
      <c r="L60" s="260"/>
      <c r="M60" s="261"/>
      <c r="N60" s="259"/>
    </row>
    <row r="61" spans="1:44">
      <c r="I61" s="2"/>
      <c r="M61" s="5"/>
      <c r="N61" s="3"/>
    </row>
    <row r="62" spans="1:44">
      <c r="A62" s="5"/>
      <c r="J62" s="7"/>
      <c r="K62" s="7"/>
      <c r="L62" s="7"/>
      <c r="M62" s="7"/>
      <c r="N62" s="7"/>
      <c r="O62" s="7"/>
    </row>
    <row r="63" spans="1:44">
      <c r="A63" s="5"/>
      <c r="J63" s="7"/>
      <c r="K63" s="7"/>
      <c r="L63" s="7"/>
      <c r="M63" s="7"/>
      <c r="N63" s="7"/>
      <c r="O63" s="7"/>
    </row>
    <row r="64" spans="1:44">
      <c r="A64" s="5"/>
      <c r="J64" s="7"/>
      <c r="K64" s="7"/>
      <c r="L64" s="7"/>
      <c r="M64" s="7"/>
      <c r="N64" s="7"/>
      <c r="O64" s="7"/>
    </row>
  </sheetData>
  <mergeCells count="92">
    <mergeCell ref="A1:AR1"/>
    <mergeCell ref="AT1:AX1"/>
    <mergeCell ref="A2:AR2"/>
    <mergeCell ref="B3:AR3"/>
    <mergeCell ref="H11:H12"/>
    <mergeCell ref="A5:AR5"/>
    <mergeCell ref="A6:B6"/>
    <mergeCell ref="C6:F6"/>
    <mergeCell ref="H6:K6"/>
    <mergeCell ref="L6:L7"/>
    <mergeCell ref="M6:M7"/>
    <mergeCell ref="N6:N7"/>
    <mergeCell ref="O6:O7"/>
    <mergeCell ref="P6:P7"/>
    <mergeCell ref="Q6:Q7"/>
    <mergeCell ref="AR6:AR7"/>
    <mergeCell ref="R6:R7"/>
    <mergeCell ref="S6:S7"/>
    <mergeCell ref="T6:T7"/>
    <mergeCell ref="U6:X6"/>
    <mergeCell ref="Y6:AE6"/>
    <mergeCell ref="AQ6:AQ7"/>
    <mergeCell ref="A8:A17"/>
    <mergeCell ref="B8:B17"/>
    <mergeCell ref="C8:C13"/>
    <mergeCell ref="D8:D13"/>
    <mergeCell ref="E8:E13"/>
    <mergeCell ref="F8:F13"/>
    <mergeCell ref="G8:G15"/>
    <mergeCell ref="H8:H10"/>
    <mergeCell ref="I8:I10"/>
    <mergeCell ref="J8:J10"/>
    <mergeCell ref="L8:L13"/>
    <mergeCell ref="M8:M13"/>
    <mergeCell ref="G16:G17"/>
    <mergeCell ref="H16:H17"/>
    <mergeCell ref="C14:C17"/>
    <mergeCell ref="K22:K29"/>
    <mergeCell ref="K19:K21"/>
    <mergeCell ref="AS8:AS17"/>
    <mergeCell ref="I11:I12"/>
    <mergeCell ref="J11:J12"/>
    <mergeCell ref="K11:K12"/>
    <mergeCell ref="K16:K17"/>
    <mergeCell ref="L16:L17"/>
    <mergeCell ref="M16:M17"/>
    <mergeCell ref="K8:K9"/>
    <mergeCell ref="M14:M15"/>
    <mergeCell ref="I16:I17"/>
    <mergeCell ref="J16:J17"/>
    <mergeCell ref="J19:J21"/>
    <mergeCell ref="A19:A29"/>
    <mergeCell ref="B19:B29"/>
    <mergeCell ref="G19:G21"/>
    <mergeCell ref="H19:H21"/>
    <mergeCell ref="I19:I21"/>
    <mergeCell ref="C21:C29"/>
    <mergeCell ref="D21:D29"/>
    <mergeCell ref="E21:E29"/>
    <mergeCell ref="F21:F29"/>
    <mergeCell ref="D14:D17"/>
    <mergeCell ref="E14:E17"/>
    <mergeCell ref="F14:F17"/>
    <mergeCell ref="L14:L15"/>
    <mergeCell ref="AS19:AS29"/>
    <mergeCell ref="M20:M21"/>
    <mergeCell ref="U20:U21"/>
    <mergeCell ref="V20:V21"/>
    <mergeCell ref="W20:W21"/>
    <mergeCell ref="U22:U23"/>
    <mergeCell ref="V22:V23"/>
    <mergeCell ref="W22:W23"/>
    <mergeCell ref="X22:X23"/>
    <mergeCell ref="M22:M23"/>
    <mergeCell ref="M25:M27"/>
    <mergeCell ref="J22:J29"/>
    <mergeCell ref="A53:O53"/>
    <mergeCell ref="A57:N57"/>
    <mergeCell ref="A4:AR4"/>
    <mergeCell ref="A18:N18"/>
    <mergeCell ref="A30:N30"/>
    <mergeCell ref="A34:O34"/>
    <mergeCell ref="A38:N38"/>
    <mergeCell ref="A43:O43"/>
    <mergeCell ref="A47:N47"/>
    <mergeCell ref="U25:U27"/>
    <mergeCell ref="V25:V27"/>
    <mergeCell ref="W25:W27"/>
    <mergeCell ref="X25:X27"/>
    <mergeCell ref="G22:G29"/>
    <mergeCell ref="H22:H29"/>
    <mergeCell ref="I22:I29"/>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AFCEA-D794-4C74-ABA0-BBF938EFE1CC}">
  <dimension ref="A1:AZ49"/>
  <sheetViews>
    <sheetView topLeftCell="A10" zoomScale="60" zoomScaleNormal="60" workbookViewId="0">
      <selection activeCell="A44" sqref="A44"/>
    </sheetView>
  </sheetViews>
  <sheetFormatPr baseColWidth="10" defaultColWidth="11.42578125" defaultRowHeight="14.25"/>
  <cols>
    <col min="1" max="1" width="26.42578125" style="3" customWidth="1"/>
    <col min="2" max="2" width="28.42578125" style="3" customWidth="1"/>
    <col min="3" max="3" width="24" style="3" customWidth="1"/>
    <col min="4" max="4" width="30.42578125" style="3" customWidth="1"/>
    <col min="5" max="5" width="24.42578125" style="3" customWidth="1"/>
    <col min="6" max="6" width="18.42578125" style="3" customWidth="1"/>
    <col min="7" max="7" width="20.28515625" style="3" customWidth="1"/>
    <col min="8" max="8" width="37.42578125" style="3" customWidth="1"/>
    <col min="9" max="9" width="15" style="3" hidden="1" customWidth="1"/>
    <col min="10" max="11" width="12.7109375" style="2" hidden="1" customWidth="1"/>
    <col min="12" max="12" width="38.42578125" style="2" hidden="1" customWidth="1"/>
    <col min="13" max="13" width="57.42578125" style="2" hidden="1" customWidth="1"/>
    <col min="14" max="14" width="38.140625" style="5" customWidth="1"/>
    <col min="15" max="16" width="15" style="3" customWidth="1"/>
    <col min="17" max="17" width="16.28515625" style="3" customWidth="1"/>
    <col min="18" max="18" width="16.7109375" style="3" customWidth="1"/>
    <col min="19" max="19" width="16.85546875" style="3" customWidth="1"/>
    <col min="20" max="20" width="18" style="3" customWidth="1"/>
    <col min="21" max="21" width="20.140625" style="3" customWidth="1"/>
    <col min="22" max="22" width="21.42578125" style="3" customWidth="1"/>
    <col min="23" max="23" width="27.7109375" style="7" customWidth="1"/>
    <col min="24" max="24" width="25.42578125" style="7" bestFit="1" customWidth="1"/>
    <col min="25" max="34" width="25.42578125" style="7" customWidth="1"/>
    <col min="35" max="37" width="34.28515625" style="7" customWidth="1"/>
    <col min="38" max="42" width="43.85546875" style="7" customWidth="1"/>
    <col min="43" max="43" width="20" style="3" customWidth="1"/>
    <col min="44" max="44" width="20.140625" style="3" customWidth="1"/>
    <col min="45" max="45" width="30.28515625" style="2" hidden="1" customWidth="1"/>
    <col min="46" max="47" width="17.42578125" style="2" customWidth="1"/>
    <col min="48" max="48" width="21.140625" style="2" customWidth="1"/>
    <col min="49" max="49" width="16.7109375" style="2" customWidth="1"/>
    <col min="50" max="50" width="20.140625" style="2" customWidth="1"/>
    <col min="51" max="16384" width="11.42578125" style="2"/>
  </cols>
  <sheetData>
    <row r="1" spans="1:52" s="1" customFormat="1" ht="30.75" customHeight="1" thickTop="1" thickBot="1">
      <c r="A1" s="846" t="s">
        <v>585</v>
      </c>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22"/>
      <c r="AT1" s="823" t="s">
        <v>34</v>
      </c>
      <c r="AU1" s="823"/>
      <c r="AV1" s="823"/>
      <c r="AW1" s="823"/>
      <c r="AX1" s="824"/>
    </row>
    <row r="2" spans="1:52" s="1" customFormat="1" ht="27.95" customHeight="1" thickTop="1" thickBot="1">
      <c r="A2" s="856" t="s">
        <v>586</v>
      </c>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856"/>
      <c r="AQ2" s="856"/>
      <c r="AR2" s="856"/>
      <c r="AS2" s="22"/>
      <c r="AT2" s="253" t="s">
        <v>35</v>
      </c>
      <c r="AU2" s="20" t="s">
        <v>36</v>
      </c>
      <c r="AV2" s="16" t="s">
        <v>37</v>
      </c>
      <c r="AW2" s="16" t="s">
        <v>38</v>
      </c>
      <c r="AX2" s="16" t="s">
        <v>29</v>
      </c>
    </row>
    <row r="3" spans="1:52" s="1" customFormat="1" ht="25.5" customHeight="1" thickTop="1" thickBot="1">
      <c r="A3" s="256"/>
      <c r="B3" s="1041" t="s">
        <v>615</v>
      </c>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c r="AJ3" s="1042"/>
      <c r="AK3" s="1042"/>
      <c r="AL3" s="1042"/>
      <c r="AM3" s="1042"/>
      <c r="AN3" s="1042"/>
      <c r="AO3" s="1042"/>
      <c r="AP3" s="1042"/>
      <c r="AQ3" s="1042"/>
      <c r="AR3" s="1043"/>
      <c r="AS3" s="23"/>
      <c r="AT3" s="28"/>
      <c r="AU3" s="21"/>
      <c r="AV3" s="17"/>
      <c r="AW3" s="18"/>
      <c r="AX3" s="19"/>
    </row>
    <row r="4" spans="1:52" s="1" customFormat="1" ht="27.95" customHeight="1" thickTop="1" thickBot="1">
      <c r="A4" s="1044" t="s">
        <v>616</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5"/>
      <c r="AK4" s="1045"/>
      <c r="AL4" s="1045"/>
      <c r="AM4" s="1045"/>
      <c r="AN4" s="1045"/>
      <c r="AO4" s="1045"/>
      <c r="AP4" s="1045"/>
      <c r="AQ4" s="1045"/>
      <c r="AR4" s="1046"/>
      <c r="AS4" s="23"/>
      <c r="AT4" s="28"/>
      <c r="AU4" s="21"/>
      <c r="AV4" s="17"/>
      <c r="AW4" s="18"/>
      <c r="AX4" s="19"/>
    </row>
    <row r="5" spans="1:52" s="1" customFormat="1" ht="27.95" customHeight="1" thickTop="1" thickBot="1">
      <c r="A5" s="825"/>
      <c r="B5" s="825"/>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c r="AR5" s="825"/>
      <c r="AS5" s="163"/>
      <c r="AT5" s="28"/>
      <c r="AU5" s="21"/>
      <c r="AV5" s="17"/>
      <c r="AW5" s="18"/>
      <c r="AX5" s="19"/>
    </row>
    <row r="6" spans="1:52" ht="27.95" customHeight="1" thickBot="1">
      <c r="A6" s="830"/>
      <c r="B6" s="831"/>
      <c r="C6" s="832" t="s">
        <v>45</v>
      </c>
      <c r="D6" s="830"/>
      <c r="E6" s="830"/>
      <c r="F6" s="831"/>
      <c r="G6" s="29"/>
      <c r="H6" s="875" t="s">
        <v>311</v>
      </c>
      <c r="I6" s="875"/>
      <c r="J6" s="875"/>
      <c r="K6" s="875"/>
      <c r="L6" s="829" t="s">
        <v>44</v>
      </c>
      <c r="M6" s="829" t="s">
        <v>10</v>
      </c>
      <c r="N6" s="1039" t="s">
        <v>1</v>
      </c>
      <c r="O6" s="879" t="s">
        <v>48</v>
      </c>
      <c r="P6" s="879" t="s">
        <v>2</v>
      </c>
      <c r="Q6" s="879" t="s">
        <v>3</v>
      </c>
      <c r="R6" s="879" t="s">
        <v>4</v>
      </c>
      <c r="S6" s="879" t="s">
        <v>5</v>
      </c>
      <c r="T6" s="879" t="s">
        <v>6</v>
      </c>
      <c r="U6" s="878" t="s">
        <v>7</v>
      </c>
      <c r="V6" s="878"/>
      <c r="W6" s="878"/>
      <c r="X6" s="878"/>
      <c r="Y6" s="843" t="s">
        <v>564</v>
      </c>
      <c r="Z6" s="844"/>
      <c r="AA6" s="844"/>
      <c r="AB6" s="844"/>
      <c r="AC6" s="844"/>
      <c r="AD6" s="844"/>
      <c r="AE6" s="845"/>
      <c r="AF6" s="248"/>
      <c r="AG6" s="248"/>
      <c r="AH6" s="248"/>
      <c r="AI6" s="248"/>
      <c r="AJ6" s="248"/>
      <c r="AK6" s="248"/>
      <c r="AL6" s="248"/>
      <c r="AM6" s="248"/>
      <c r="AN6" s="248"/>
      <c r="AO6" s="248"/>
      <c r="AP6" s="248"/>
      <c r="AQ6" s="879" t="s">
        <v>8</v>
      </c>
      <c r="AR6" s="871" t="s">
        <v>9</v>
      </c>
      <c r="AS6" s="164"/>
      <c r="AT6" s="20" t="s">
        <v>39</v>
      </c>
      <c r="AU6" s="15" t="s">
        <v>30</v>
      </c>
      <c r="AV6" s="16" t="s">
        <v>31</v>
      </c>
      <c r="AW6" s="16" t="s">
        <v>32</v>
      </c>
      <c r="AX6" s="16" t="s">
        <v>33</v>
      </c>
    </row>
    <row r="7" spans="1:52" ht="68.25" customHeight="1" thickTop="1" thickBot="1">
      <c r="A7" s="24" t="s">
        <v>42</v>
      </c>
      <c r="B7" s="24" t="s">
        <v>43</v>
      </c>
      <c r="C7" s="24" t="s">
        <v>11</v>
      </c>
      <c r="D7" s="24" t="s">
        <v>52</v>
      </c>
      <c r="E7" s="24" t="s">
        <v>12</v>
      </c>
      <c r="F7" s="24" t="s">
        <v>47</v>
      </c>
      <c r="G7" s="24" t="s">
        <v>41</v>
      </c>
      <c r="H7" s="30" t="s">
        <v>46</v>
      </c>
      <c r="I7" s="24" t="s">
        <v>52</v>
      </c>
      <c r="J7" s="24" t="s">
        <v>12</v>
      </c>
      <c r="K7" s="24" t="s">
        <v>47</v>
      </c>
      <c r="L7" s="829"/>
      <c r="M7" s="829"/>
      <c r="N7" s="1040"/>
      <c r="O7" s="880"/>
      <c r="P7" s="880"/>
      <c r="Q7" s="880"/>
      <c r="R7" s="880"/>
      <c r="S7" s="880"/>
      <c r="T7" s="880"/>
      <c r="U7" s="24" t="s">
        <v>13</v>
      </c>
      <c r="V7" s="24" t="s">
        <v>14</v>
      </c>
      <c r="W7" s="4" t="s">
        <v>15</v>
      </c>
      <c r="X7" s="4" t="s">
        <v>16</v>
      </c>
      <c r="Y7" s="4" t="s">
        <v>565</v>
      </c>
      <c r="Z7" s="4" t="s">
        <v>566</v>
      </c>
      <c r="AA7" s="4" t="s">
        <v>567</v>
      </c>
      <c r="AB7" s="4" t="s">
        <v>568</v>
      </c>
      <c r="AC7" s="4" t="s">
        <v>569</v>
      </c>
      <c r="AD7" s="4" t="s">
        <v>570</v>
      </c>
      <c r="AE7" s="4" t="s">
        <v>571</v>
      </c>
      <c r="AF7" s="252" t="s">
        <v>572</v>
      </c>
      <c r="AG7" s="252" t="s">
        <v>573</v>
      </c>
      <c r="AH7" s="252" t="s">
        <v>574</v>
      </c>
      <c r="AI7" s="252" t="s">
        <v>575</v>
      </c>
      <c r="AJ7" s="252" t="s">
        <v>576</v>
      </c>
      <c r="AK7" s="252" t="s">
        <v>577</v>
      </c>
      <c r="AL7" s="252" t="s">
        <v>578</v>
      </c>
      <c r="AM7" s="252" t="s">
        <v>579</v>
      </c>
      <c r="AN7" s="252" t="s">
        <v>580</v>
      </c>
      <c r="AO7" s="252" t="s">
        <v>581</v>
      </c>
      <c r="AP7" s="252" t="s">
        <v>582</v>
      </c>
      <c r="AQ7" s="880"/>
      <c r="AR7" s="872" t="s">
        <v>9</v>
      </c>
      <c r="AS7" s="164"/>
    </row>
    <row r="8" spans="1:52" s="1" customFormat="1" ht="97.5" customHeight="1" thickBot="1">
      <c r="A8" s="715" t="s">
        <v>253</v>
      </c>
      <c r="B8" s="715" t="s">
        <v>254</v>
      </c>
      <c r="C8" s="118" t="s">
        <v>255</v>
      </c>
      <c r="D8" s="118" t="s">
        <v>17</v>
      </c>
      <c r="E8" s="118">
        <v>3</v>
      </c>
      <c r="F8" s="118">
        <v>6</v>
      </c>
      <c r="G8" s="715" t="s">
        <v>257</v>
      </c>
      <c r="H8" s="715" t="s">
        <v>258</v>
      </c>
      <c r="I8" s="715" t="s">
        <v>259</v>
      </c>
      <c r="J8" s="721">
        <v>2</v>
      </c>
      <c r="K8" s="721">
        <v>4</v>
      </c>
      <c r="L8" s="119"/>
      <c r="M8" s="715" t="s">
        <v>260</v>
      </c>
      <c r="N8" s="715" t="s">
        <v>563</v>
      </c>
      <c r="O8" s="118">
        <v>6</v>
      </c>
      <c r="P8" s="118" t="s">
        <v>259</v>
      </c>
      <c r="Q8" s="118">
        <v>1</v>
      </c>
      <c r="R8" s="118">
        <v>1</v>
      </c>
      <c r="S8" s="118">
        <v>2</v>
      </c>
      <c r="T8" s="118">
        <v>2</v>
      </c>
      <c r="U8" s="118" t="s">
        <v>377</v>
      </c>
      <c r="V8" s="120"/>
      <c r="W8" s="121">
        <v>15000000</v>
      </c>
      <c r="X8" s="121">
        <f t="shared" ref="X8:X12" si="0">W8</f>
        <v>15000000</v>
      </c>
      <c r="Y8" s="316"/>
      <c r="Z8" s="316"/>
      <c r="AA8" s="316"/>
      <c r="AB8" s="316"/>
      <c r="AC8" s="128">
        <v>0</v>
      </c>
      <c r="AD8" s="128"/>
      <c r="AE8" s="128"/>
      <c r="AF8" s="250"/>
      <c r="AG8" s="250"/>
      <c r="AH8" s="250"/>
      <c r="AI8" s="250"/>
      <c r="AJ8" s="250"/>
      <c r="AK8" s="250"/>
      <c r="AL8" s="250"/>
      <c r="AM8" s="250"/>
      <c r="AN8" s="250"/>
      <c r="AO8" s="250"/>
      <c r="AP8" s="250"/>
      <c r="AQ8" s="118" t="s">
        <v>342</v>
      </c>
      <c r="AR8" s="118" t="s">
        <v>342</v>
      </c>
      <c r="AS8" s="809" t="s">
        <v>337</v>
      </c>
    </row>
    <row r="9" spans="1:52" s="1" customFormat="1" ht="108" customHeight="1" thickBot="1">
      <c r="A9" s="717"/>
      <c r="B9" s="717"/>
      <c r="C9" s="122" t="s">
        <v>256</v>
      </c>
      <c r="D9" s="123" t="s">
        <v>17</v>
      </c>
      <c r="E9" s="123" t="s">
        <v>51</v>
      </c>
      <c r="F9" s="123">
        <v>4</v>
      </c>
      <c r="G9" s="717"/>
      <c r="H9" s="717"/>
      <c r="I9" s="717"/>
      <c r="J9" s="723"/>
      <c r="K9" s="723"/>
      <c r="L9" s="124"/>
      <c r="M9" s="717"/>
      <c r="N9" s="717"/>
      <c r="O9" s="123">
        <v>4</v>
      </c>
      <c r="P9" s="118" t="s">
        <v>259</v>
      </c>
      <c r="Q9" s="123">
        <v>1</v>
      </c>
      <c r="R9" s="123">
        <v>1</v>
      </c>
      <c r="S9" s="123">
        <v>1</v>
      </c>
      <c r="T9" s="123">
        <v>1</v>
      </c>
      <c r="U9" s="123" t="s">
        <v>377</v>
      </c>
      <c r="V9" s="127"/>
      <c r="W9" s="128">
        <v>15000000</v>
      </c>
      <c r="X9" s="121">
        <f t="shared" si="0"/>
        <v>15000000</v>
      </c>
      <c r="Y9" s="316">
        <v>0</v>
      </c>
      <c r="Z9" s="316"/>
      <c r="AA9" s="316"/>
      <c r="AB9" s="316"/>
      <c r="AC9" s="128">
        <v>0</v>
      </c>
      <c r="AD9" s="128"/>
      <c r="AE9" s="128"/>
      <c r="AF9" s="250"/>
      <c r="AG9" s="250"/>
      <c r="AH9" s="250"/>
      <c r="AI9" s="250"/>
      <c r="AJ9" s="250"/>
      <c r="AK9" s="250"/>
      <c r="AL9" s="250"/>
      <c r="AM9" s="250"/>
      <c r="AN9" s="250"/>
      <c r="AO9" s="250"/>
      <c r="AP9" s="250"/>
      <c r="AQ9" s="118" t="s">
        <v>342</v>
      </c>
      <c r="AR9" s="118" t="s">
        <v>342</v>
      </c>
      <c r="AS9" s="810"/>
      <c r="AU9" s="1">
        <v>1020100</v>
      </c>
      <c r="AW9" s="1">
        <v>89838668.807999998</v>
      </c>
      <c r="AX9" s="1">
        <f>+AW9/2</f>
        <v>44919334.403999999</v>
      </c>
      <c r="AZ9" s="1">
        <v>44919334.403999999</v>
      </c>
    </row>
    <row r="10" spans="1:52" s="1" customFormat="1" ht="108" customHeight="1" thickBot="1">
      <c r="A10" s="1097" t="s">
        <v>617</v>
      </c>
      <c r="B10" s="1098"/>
      <c r="C10" s="1098"/>
      <c r="D10" s="1098"/>
      <c r="E10" s="1098"/>
      <c r="F10" s="1098"/>
      <c r="G10" s="1098"/>
      <c r="H10" s="1098"/>
      <c r="I10" s="1098"/>
      <c r="J10" s="1098"/>
      <c r="K10" s="1098"/>
      <c r="L10" s="1098"/>
      <c r="M10" s="1098"/>
      <c r="N10" s="1099"/>
      <c r="O10" s="239">
        <f>SUM(O8:O9)</f>
        <v>10</v>
      </c>
      <c r="P10" s="239" t="s">
        <v>452</v>
      </c>
      <c r="Q10" s="239">
        <f t="shared" ref="Q10:T10" si="1">SUM(Q8:Q9)</f>
        <v>2</v>
      </c>
      <c r="R10" s="239">
        <f t="shared" si="1"/>
        <v>2</v>
      </c>
      <c r="S10" s="239">
        <f t="shared" si="1"/>
        <v>3</v>
      </c>
      <c r="T10" s="239">
        <f t="shared" si="1"/>
        <v>3</v>
      </c>
      <c r="U10" s="239"/>
      <c r="V10" s="243"/>
      <c r="W10" s="244">
        <f>SUM(W8:W9)</f>
        <v>30000000</v>
      </c>
      <c r="X10" s="244">
        <f>SUM(X8:X9)</f>
        <v>30000000</v>
      </c>
      <c r="Y10" s="239">
        <f>SUM(Y8:Y9)</f>
        <v>0</v>
      </c>
      <c r="Z10" s="239">
        <f t="shared" ref="Z10:AB10" si="2">SUM(Z8:Z9)</f>
        <v>0</v>
      </c>
      <c r="AA10" s="239">
        <f t="shared" si="2"/>
        <v>0</v>
      </c>
      <c r="AB10" s="239">
        <f t="shared" si="2"/>
        <v>0</v>
      </c>
      <c r="AC10" s="244">
        <f>SUM(AC8:AC9)</f>
        <v>0</v>
      </c>
      <c r="AD10" s="244">
        <f t="shared" ref="AD10:AH10" si="3">SUM(AD8:AD9)</f>
        <v>0</v>
      </c>
      <c r="AE10" s="244">
        <f t="shared" si="3"/>
        <v>0</v>
      </c>
      <c r="AF10" s="244">
        <f t="shared" si="3"/>
        <v>0</v>
      </c>
      <c r="AG10" s="244">
        <f t="shared" si="3"/>
        <v>0</v>
      </c>
      <c r="AH10" s="244">
        <f t="shared" si="3"/>
        <v>0</v>
      </c>
      <c r="AI10" s="295"/>
      <c r="AJ10" s="295"/>
      <c r="AK10" s="295"/>
      <c r="AL10" s="295"/>
      <c r="AM10" s="295"/>
      <c r="AN10" s="295"/>
      <c r="AO10" s="295"/>
      <c r="AP10" s="295"/>
      <c r="AQ10" s="285"/>
      <c r="AR10" s="285"/>
      <c r="AS10" s="810"/>
    </row>
    <row r="11" spans="1:52" s="1" customFormat="1" ht="143.25" customHeight="1" thickBot="1">
      <c r="A11" s="758" t="s">
        <v>319</v>
      </c>
      <c r="B11" s="758" t="s">
        <v>261</v>
      </c>
      <c r="C11" s="758" t="s">
        <v>262</v>
      </c>
      <c r="D11" s="758" t="s">
        <v>18</v>
      </c>
      <c r="E11" s="758" t="s">
        <v>51</v>
      </c>
      <c r="F11" s="758">
        <v>15</v>
      </c>
      <c r="G11" s="758" t="s">
        <v>263</v>
      </c>
      <c r="H11" s="129" t="s">
        <v>264</v>
      </c>
      <c r="I11" s="129" t="s">
        <v>17</v>
      </c>
      <c r="J11" s="126">
        <v>2</v>
      </c>
      <c r="K11" s="126">
        <v>2.5</v>
      </c>
      <c r="L11" s="124"/>
      <c r="M11" s="758" t="s">
        <v>266</v>
      </c>
      <c r="N11" s="125" t="s">
        <v>562</v>
      </c>
      <c r="O11" s="123">
        <v>1</v>
      </c>
      <c r="P11" s="123" t="s">
        <v>17</v>
      </c>
      <c r="Q11" s="123">
        <v>1</v>
      </c>
      <c r="R11" s="123">
        <v>0</v>
      </c>
      <c r="S11" s="123">
        <v>0</v>
      </c>
      <c r="T11" s="123">
        <v>0</v>
      </c>
      <c r="U11" s="123">
        <v>1020100</v>
      </c>
      <c r="V11" s="127"/>
      <c r="W11" s="128">
        <v>44919334.403999999</v>
      </c>
      <c r="X11" s="121">
        <f t="shared" si="0"/>
        <v>44919334.403999999</v>
      </c>
      <c r="Y11" s="316"/>
      <c r="Z11" s="316"/>
      <c r="AA11" s="316"/>
      <c r="AB11" s="316"/>
      <c r="AC11" s="128">
        <v>17424396</v>
      </c>
      <c r="AD11" s="128">
        <v>17424396</v>
      </c>
      <c r="AE11" s="128"/>
      <c r="AF11" s="250"/>
      <c r="AG11" s="250"/>
      <c r="AH11" s="250"/>
      <c r="AI11" s="250"/>
      <c r="AJ11" s="250"/>
      <c r="AK11" s="250"/>
      <c r="AL11" s="250"/>
      <c r="AM11" s="250"/>
      <c r="AN11" s="250"/>
      <c r="AO11" s="250"/>
      <c r="AP11" s="250"/>
      <c r="AQ11" s="118" t="s">
        <v>342</v>
      </c>
      <c r="AR11" s="118" t="s">
        <v>342</v>
      </c>
      <c r="AS11" s="810"/>
    </row>
    <row r="12" spans="1:52" s="1" customFormat="1" ht="77.25" customHeight="1" thickBot="1">
      <c r="A12" s="759"/>
      <c r="B12" s="759"/>
      <c r="C12" s="759"/>
      <c r="D12" s="759"/>
      <c r="E12" s="759"/>
      <c r="F12" s="759"/>
      <c r="G12" s="759"/>
      <c r="H12" s="130" t="s">
        <v>265</v>
      </c>
      <c r="I12" s="130" t="s">
        <v>18</v>
      </c>
      <c r="J12" s="130">
        <v>80</v>
      </c>
      <c r="K12" s="131">
        <v>85</v>
      </c>
      <c r="L12" s="132"/>
      <c r="M12" s="759"/>
      <c r="N12" s="133" t="s">
        <v>561</v>
      </c>
      <c r="O12" s="130">
        <v>1</v>
      </c>
      <c r="P12" s="123" t="s">
        <v>17</v>
      </c>
      <c r="Q12" s="130">
        <v>0</v>
      </c>
      <c r="R12" s="130">
        <v>0</v>
      </c>
      <c r="S12" s="130">
        <v>0</v>
      </c>
      <c r="T12" s="130">
        <v>1</v>
      </c>
      <c r="U12" s="134">
        <v>1020100</v>
      </c>
      <c r="V12" s="135"/>
      <c r="W12" s="128">
        <v>44919334.403999999</v>
      </c>
      <c r="X12" s="121">
        <f t="shared" si="0"/>
        <v>44919334.403999999</v>
      </c>
      <c r="Y12" s="316"/>
      <c r="Z12" s="316"/>
      <c r="AA12" s="316"/>
      <c r="AB12" s="316"/>
      <c r="AC12" s="128">
        <v>17424395</v>
      </c>
      <c r="AD12" s="128">
        <v>17424395</v>
      </c>
      <c r="AE12" s="128"/>
      <c r="AF12" s="250"/>
      <c r="AG12" s="250"/>
      <c r="AH12" s="250"/>
      <c r="AI12" s="250"/>
      <c r="AJ12" s="250"/>
      <c r="AK12" s="250"/>
      <c r="AL12" s="250"/>
      <c r="AM12" s="250"/>
      <c r="AN12" s="250"/>
      <c r="AO12" s="250"/>
      <c r="AP12" s="250"/>
      <c r="AQ12" s="118" t="s">
        <v>342</v>
      </c>
      <c r="AR12" s="118" t="s">
        <v>342</v>
      </c>
      <c r="AS12" s="811"/>
    </row>
    <row r="13" spans="1:52" s="1" customFormat="1" ht="36.75" customHeight="1">
      <c r="A13" s="1097" t="s">
        <v>617</v>
      </c>
      <c r="B13" s="1098"/>
      <c r="C13" s="1098"/>
      <c r="D13" s="1098"/>
      <c r="E13" s="1098"/>
      <c r="F13" s="1098"/>
      <c r="G13" s="1098"/>
      <c r="H13" s="1098"/>
      <c r="I13" s="1098"/>
      <c r="J13" s="1098"/>
      <c r="K13" s="1098"/>
      <c r="L13" s="1098"/>
      <c r="M13" s="1098"/>
      <c r="N13" s="1099"/>
      <c r="O13" s="239">
        <f>SUM(O11:O12)</f>
        <v>2</v>
      </c>
      <c r="P13" s="239" t="s">
        <v>452</v>
      </c>
      <c r="Q13" s="239">
        <f t="shared" ref="Q13:T13" si="4">SUM(Q11:Q12)</f>
        <v>1</v>
      </c>
      <c r="R13" s="239">
        <f t="shared" si="4"/>
        <v>0</v>
      </c>
      <c r="S13" s="239">
        <f t="shared" si="4"/>
        <v>0</v>
      </c>
      <c r="T13" s="239">
        <f t="shared" si="4"/>
        <v>1</v>
      </c>
      <c r="U13" s="239"/>
      <c r="V13" s="243"/>
      <c r="W13" s="244">
        <f>SUM(W11:W12)</f>
        <v>89838668.807999998</v>
      </c>
      <c r="X13" s="244">
        <f>SUM(X11:X12)</f>
        <v>89838668.807999998</v>
      </c>
      <c r="Y13" s="239">
        <f>SUM(Y11:Y12)</f>
        <v>0</v>
      </c>
      <c r="Z13" s="239">
        <f t="shared" ref="Z13:AH13" si="5">SUM(Z11:Z12)</f>
        <v>0</v>
      </c>
      <c r="AA13" s="239">
        <f t="shared" si="5"/>
        <v>0</v>
      </c>
      <c r="AB13" s="239">
        <f t="shared" si="5"/>
        <v>0</v>
      </c>
      <c r="AC13" s="244">
        <f t="shared" si="5"/>
        <v>34848791</v>
      </c>
      <c r="AD13" s="244">
        <f t="shared" si="5"/>
        <v>34848791</v>
      </c>
      <c r="AE13" s="244">
        <f t="shared" si="5"/>
        <v>0</v>
      </c>
      <c r="AF13" s="244">
        <f t="shared" si="5"/>
        <v>0</v>
      </c>
      <c r="AG13" s="244">
        <f t="shared" si="5"/>
        <v>0</v>
      </c>
      <c r="AH13" s="244">
        <f t="shared" si="5"/>
        <v>0</v>
      </c>
      <c r="AI13" s="295"/>
      <c r="AJ13" s="295"/>
      <c r="AK13" s="295"/>
      <c r="AL13" s="295"/>
      <c r="AM13" s="295"/>
      <c r="AN13" s="295"/>
      <c r="AO13" s="295"/>
      <c r="AP13" s="295"/>
      <c r="AQ13" s="285"/>
      <c r="AR13" s="285"/>
    </row>
    <row r="14" spans="1:52" s="1" customFormat="1">
      <c r="A14" s="3"/>
      <c r="B14" s="3"/>
      <c r="C14" s="3"/>
      <c r="D14" s="3"/>
      <c r="E14" s="3"/>
      <c r="F14" s="3"/>
      <c r="G14" s="3"/>
      <c r="H14" s="3"/>
      <c r="I14" s="3"/>
      <c r="N14" s="5"/>
      <c r="O14" s="3"/>
      <c r="P14" s="3"/>
      <c r="Q14" s="3"/>
      <c r="R14" s="3"/>
      <c r="S14" s="3"/>
      <c r="T14" s="3"/>
      <c r="U14" s="3">
        <v>90692582256</v>
      </c>
      <c r="V14" s="3"/>
      <c r="W14" s="7"/>
      <c r="X14" s="8"/>
      <c r="Y14" s="8"/>
      <c r="Z14" s="8"/>
      <c r="AA14" s="8"/>
      <c r="AB14" s="8"/>
      <c r="AC14" s="8"/>
      <c r="AD14" s="8"/>
      <c r="AE14" s="8"/>
      <c r="AF14" s="8"/>
      <c r="AG14" s="8"/>
      <c r="AH14" s="8"/>
      <c r="AI14" s="8"/>
      <c r="AJ14" s="8"/>
      <c r="AK14" s="8"/>
      <c r="AL14" s="8"/>
      <c r="AM14" s="8"/>
      <c r="AN14" s="8"/>
      <c r="AO14" s="8"/>
      <c r="AP14" s="8"/>
      <c r="AQ14" s="3"/>
      <c r="AR14" s="3"/>
    </row>
    <row r="15" spans="1:52" s="1" customFormat="1">
      <c r="A15" s="3"/>
      <c r="B15" s="3"/>
      <c r="C15" s="3"/>
      <c r="D15" s="3"/>
      <c r="E15" s="3"/>
      <c r="F15" s="3"/>
      <c r="G15" s="3"/>
      <c r="H15" s="3"/>
      <c r="I15" s="3"/>
      <c r="N15" s="5"/>
      <c r="O15" s="3"/>
      <c r="P15" s="3"/>
      <c r="Q15" s="3"/>
      <c r="R15" s="3"/>
      <c r="S15" s="3"/>
      <c r="T15" s="3"/>
      <c r="U15" s="3">
        <v>59707696938</v>
      </c>
      <c r="V15" s="3"/>
      <c r="W15" s="7"/>
      <c r="X15" s="11" t="e">
        <f>#REF!-#REF!</f>
        <v>#REF!</v>
      </c>
      <c r="Y15" s="11"/>
      <c r="Z15" s="11"/>
      <c r="AA15" s="11"/>
      <c r="AB15" s="11"/>
      <c r="AC15" s="11"/>
      <c r="AD15" s="11"/>
      <c r="AE15" s="11"/>
      <c r="AF15" s="11"/>
      <c r="AG15" s="11"/>
      <c r="AH15" s="11"/>
      <c r="AI15" s="11"/>
      <c r="AJ15" s="11"/>
      <c r="AK15" s="11"/>
      <c r="AL15" s="11"/>
      <c r="AM15" s="11"/>
      <c r="AN15" s="11"/>
      <c r="AO15" s="11"/>
      <c r="AP15" s="11"/>
      <c r="AQ15" s="3"/>
      <c r="AR15" s="3"/>
    </row>
    <row r="16" spans="1:52" s="1" customFormat="1">
      <c r="A16" s="3"/>
      <c r="B16" s="3"/>
      <c r="C16" s="3"/>
      <c r="D16" s="3"/>
      <c r="E16" s="3"/>
      <c r="F16" s="3"/>
      <c r="G16" s="3"/>
      <c r="H16" s="3"/>
      <c r="I16" s="3"/>
      <c r="N16" s="5"/>
      <c r="O16" s="3"/>
      <c r="P16" s="3"/>
      <c r="Q16" s="3"/>
      <c r="R16" s="3"/>
      <c r="S16" s="3"/>
      <c r="T16" s="3"/>
      <c r="U16" s="3">
        <f>+U14-U15</f>
        <v>30984885318</v>
      </c>
      <c r="V16" s="3"/>
      <c r="W16" s="7"/>
      <c r="X16" s="7"/>
      <c r="Y16" s="7"/>
      <c r="Z16" s="7"/>
      <c r="AA16" s="7"/>
      <c r="AB16" s="7"/>
      <c r="AC16" s="7"/>
      <c r="AD16" s="7"/>
      <c r="AE16" s="7"/>
      <c r="AF16" s="7"/>
      <c r="AG16" s="7"/>
      <c r="AH16" s="7"/>
      <c r="AI16" s="7"/>
      <c r="AJ16" s="7"/>
      <c r="AK16" s="7"/>
      <c r="AL16" s="7"/>
      <c r="AM16" s="7"/>
      <c r="AN16" s="7"/>
      <c r="AO16" s="7"/>
      <c r="AP16" s="7"/>
      <c r="AQ16" s="3"/>
      <c r="AR16" s="3"/>
    </row>
    <row r="17" spans="1:44" s="1" customFormat="1">
      <c r="A17" s="3"/>
      <c r="B17" s="3"/>
      <c r="C17" s="3"/>
      <c r="D17" s="3"/>
      <c r="E17" s="3"/>
      <c r="F17" s="3"/>
      <c r="G17" s="3"/>
      <c r="H17" s="3"/>
      <c r="I17" s="3"/>
      <c r="N17" s="5"/>
      <c r="O17" s="3"/>
      <c r="P17" s="3"/>
      <c r="Q17" s="3"/>
      <c r="R17" s="3"/>
      <c r="S17" s="3"/>
      <c r="T17" s="3"/>
      <c r="U17" s="3"/>
      <c r="V17" s="3"/>
      <c r="W17" s="7"/>
      <c r="X17" s="7"/>
      <c r="Y17" s="7"/>
      <c r="Z17" s="7"/>
      <c r="AA17" s="7"/>
      <c r="AB17" s="7"/>
      <c r="AC17" s="7"/>
      <c r="AD17" s="7"/>
      <c r="AE17" s="7"/>
      <c r="AF17" s="7"/>
      <c r="AG17" s="7"/>
      <c r="AH17" s="7"/>
      <c r="AI17" s="7"/>
      <c r="AJ17" s="7"/>
      <c r="AK17" s="7"/>
      <c r="AL17" s="7"/>
      <c r="AM17" s="7"/>
      <c r="AN17" s="7"/>
      <c r="AO17" s="7"/>
      <c r="AP17" s="7"/>
      <c r="AQ17" s="3"/>
      <c r="AR17" s="3"/>
    </row>
    <row r="18" spans="1:44" s="1" customFormat="1">
      <c r="A18" s="3"/>
      <c r="B18" s="3"/>
      <c r="C18" s="3"/>
      <c r="D18" s="3"/>
      <c r="E18" s="3"/>
      <c r="F18" s="3"/>
      <c r="G18" s="3"/>
      <c r="H18" s="3"/>
      <c r="M18" s="5"/>
      <c r="N18" s="3"/>
      <c r="O18" s="3"/>
      <c r="P18" s="3"/>
      <c r="Q18" s="3"/>
      <c r="R18" s="3"/>
      <c r="S18" s="3"/>
      <c r="T18" s="3"/>
      <c r="U18" s="3"/>
      <c r="V18" s="3"/>
      <c r="W18" s="7"/>
      <c r="X18" s="7" t="e">
        <f>#REF!-X21</f>
        <v>#REF!</v>
      </c>
      <c r="Y18" s="7"/>
      <c r="Z18" s="7"/>
      <c r="AA18" s="7"/>
      <c r="AB18" s="7"/>
      <c r="AC18" s="7"/>
      <c r="AD18" s="7"/>
      <c r="AE18" s="7"/>
      <c r="AF18" s="7"/>
      <c r="AG18" s="7"/>
      <c r="AH18" s="7"/>
      <c r="AI18" s="7"/>
      <c r="AJ18" s="7"/>
      <c r="AK18" s="7"/>
      <c r="AL18" s="7"/>
      <c r="AM18" s="7"/>
      <c r="AN18" s="7"/>
      <c r="AO18" s="7"/>
      <c r="AP18" s="7"/>
      <c r="AQ18" s="3"/>
      <c r="AR18" s="3"/>
    </row>
    <row r="19" spans="1:44" s="1" customFormat="1" ht="15">
      <c r="A19" s="987" t="s">
        <v>601</v>
      </c>
      <c r="B19" s="987"/>
      <c r="C19" s="987"/>
      <c r="D19" s="987"/>
      <c r="E19" s="987"/>
      <c r="F19" s="987"/>
      <c r="G19" s="987"/>
      <c r="H19" s="987"/>
      <c r="I19" s="987"/>
      <c r="J19" s="987"/>
      <c r="K19" s="987"/>
      <c r="L19" s="987"/>
      <c r="M19" s="987"/>
      <c r="N19" s="987"/>
      <c r="O19" s="987"/>
      <c r="P19" s="3"/>
      <c r="Q19" s="3"/>
      <c r="R19" s="3"/>
      <c r="S19" s="3"/>
      <c r="T19" s="3"/>
      <c r="U19" s="13" t="e">
        <f>U15-#REF!</f>
        <v>#REF!</v>
      </c>
      <c r="V19" s="3"/>
      <c r="W19" s="7"/>
      <c r="X19" s="7"/>
      <c r="Y19" s="7"/>
      <c r="Z19" s="7"/>
      <c r="AA19" s="7"/>
      <c r="AB19" s="7"/>
      <c r="AC19" s="7"/>
      <c r="AD19" s="7"/>
      <c r="AE19" s="7"/>
      <c r="AF19" s="7"/>
      <c r="AG19" s="7"/>
      <c r="AH19" s="7"/>
      <c r="AI19" s="7"/>
      <c r="AJ19" s="7"/>
      <c r="AK19" s="7"/>
      <c r="AL19" s="7"/>
      <c r="AM19" s="7"/>
      <c r="AN19" s="7"/>
      <c r="AO19" s="7"/>
      <c r="AP19" s="7"/>
      <c r="AQ19" s="3"/>
      <c r="AR19" s="3"/>
    </row>
    <row r="20" spans="1:44" s="1" customFormat="1" ht="60">
      <c r="A20" s="269" t="s">
        <v>598</v>
      </c>
      <c r="B20" s="270" t="s">
        <v>587</v>
      </c>
      <c r="C20" s="270" t="s">
        <v>588</v>
      </c>
      <c r="D20" s="270" t="s">
        <v>589</v>
      </c>
      <c r="E20" s="270" t="s">
        <v>590</v>
      </c>
      <c r="F20" s="270" t="s">
        <v>589</v>
      </c>
      <c r="G20" s="270" t="s">
        <v>591</v>
      </c>
      <c r="H20" s="270" t="s">
        <v>589</v>
      </c>
      <c r="I20" s="270"/>
      <c r="J20" s="271"/>
      <c r="K20" s="271"/>
      <c r="L20" s="271"/>
      <c r="M20" s="270" t="s">
        <v>589</v>
      </c>
      <c r="N20" s="270" t="s">
        <v>592</v>
      </c>
      <c r="O20" s="270" t="s">
        <v>589</v>
      </c>
      <c r="P20" s="3"/>
      <c r="Q20" s="3"/>
      <c r="R20" s="3"/>
      <c r="S20" s="3"/>
      <c r="T20" s="3"/>
      <c r="U20" s="3"/>
      <c r="V20" s="14" t="e">
        <f>X21-#REF!</f>
        <v>#REF!</v>
      </c>
      <c r="W20" s="7"/>
      <c r="X20" s="7"/>
      <c r="Y20" s="7"/>
      <c r="Z20" s="7"/>
      <c r="AA20" s="7"/>
      <c r="AB20" s="7"/>
      <c r="AC20" s="7"/>
      <c r="AD20" s="7"/>
      <c r="AE20" s="7"/>
      <c r="AF20" s="7"/>
      <c r="AG20" s="7"/>
      <c r="AH20" s="7"/>
      <c r="AI20" s="7"/>
      <c r="AJ20" s="7"/>
      <c r="AK20" s="7"/>
      <c r="AL20" s="7"/>
      <c r="AM20" s="7"/>
      <c r="AN20" s="7"/>
      <c r="AO20" s="7"/>
      <c r="AP20" s="7"/>
      <c r="AQ20" s="3"/>
      <c r="AR20" s="3"/>
    </row>
    <row r="21" spans="1:44" s="1" customFormat="1" ht="23.25">
      <c r="A21" s="259" t="s">
        <v>599</v>
      </c>
      <c r="B21" s="259">
        <f>O10</f>
        <v>10</v>
      </c>
      <c r="C21" s="259">
        <f>Y10</f>
        <v>0</v>
      </c>
      <c r="D21" s="266">
        <f>B21*C21/100</f>
        <v>0</v>
      </c>
      <c r="E21" s="259">
        <f>Z10</f>
        <v>0</v>
      </c>
      <c r="F21" s="266">
        <f>B21*E21/100</f>
        <v>0</v>
      </c>
      <c r="G21" s="259">
        <f>AA10</f>
        <v>0</v>
      </c>
      <c r="H21" s="266">
        <f>B21*G21/100</f>
        <v>0</v>
      </c>
      <c r="I21" s="260"/>
      <c r="J21" s="260"/>
      <c r="K21" s="260"/>
      <c r="L21" s="260"/>
      <c r="M21" s="261"/>
      <c r="N21" s="259">
        <f>AB10</f>
        <v>0</v>
      </c>
      <c r="O21" s="266">
        <f>B21*N21/100</f>
        <v>0</v>
      </c>
      <c r="P21" s="3"/>
      <c r="Q21" s="3"/>
      <c r="R21" s="3"/>
      <c r="S21" s="3"/>
      <c r="T21" s="3"/>
      <c r="U21" s="3"/>
      <c r="V21" s="3"/>
      <c r="W21" s="7"/>
      <c r="X21" s="12">
        <v>90692582257</v>
      </c>
      <c r="Y21" s="245"/>
      <c r="Z21" s="245"/>
      <c r="AA21" s="245"/>
      <c r="AB21" s="245"/>
      <c r="AC21" s="245"/>
      <c r="AD21" s="245"/>
      <c r="AE21" s="245"/>
      <c r="AF21" s="245"/>
      <c r="AG21" s="245"/>
      <c r="AH21" s="245"/>
      <c r="AI21" s="245"/>
      <c r="AJ21" s="245"/>
      <c r="AK21" s="245"/>
      <c r="AL21" s="245"/>
      <c r="AM21" s="245"/>
      <c r="AN21" s="245"/>
      <c r="AO21" s="245"/>
      <c r="AP21" s="245"/>
      <c r="AQ21" s="13" t="e">
        <f>X21-#REF!</f>
        <v>#REF!</v>
      </c>
      <c r="AR21" s="3"/>
    </row>
    <row r="22" spans="1:44" s="1" customFormat="1">
      <c r="A22" s="3"/>
      <c r="B22" s="3"/>
      <c r="C22" s="3"/>
      <c r="D22" s="3"/>
      <c r="E22" s="3"/>
      <c r="F22" s="3"/>
      <c r="G22" s="3"/>
      <c r="H22" s="3"/>
      <c r="M22" s="5"/>
      <c r="N22" s="3"/>
      <c r="O22" s="3"/>
      <c r="P22" s="3"/>
      <c r="Q22" s="3"/>
      <c r="R22" s="3"/>
      <c r="S22" s="3"/>
      <c r="T22" s="3"/>
      <c r="U22" s="13" t="e">
        <f>#REF!-U15</f>
        <v>#REF!</v>
      </c>
      <c r="V22" s="3"/>
      <c r="W22" s="7"/>
      <c r="X22" s="7"/>
      <c r="Y22" s="7"/>
      <c r="Z22" s="7"/>
      <c r="AA22" s="7"/>
      <c r="AB22" s="7"/>
      <c r="AC22" s="7"/>
      <c r="AD22" s="7"/>
      <c r="AE22" s="7"/>
      <c r="AF22" s="7"/>
      <c r="AG22" s="7"/>
      <c r="AH22" s="7"/>
      <c r="AI22" s="7"/>
      <c r="AJ22" s="7"/>
      <c r="AK22" s="7"/>
      <c r="AL22" s="7"/>
      <c r="AM22" s="7"/>
      <c r="AN22" s="7"/>
      <c r="AO22" s="7"/>
      <c r="AP22" s="7"/>
      <c r="AQ22" s="3"/>
      <c r="AR22" s="3"/>
    </row>
    <row r="23" spans="1:44" s="1" customFormat="1" ht="15">
      <c r="A23" s="988" t="s">
        <v>602</v>
      </c>
      <c r="B23" s="988"/>
      <c r="C23" s="988"/>
      <c r="D23" s="988"/>
      <c r="E23" s="988"/>
      <c r="F23" s="988"/>
      <c r="G23" s="988"/>
      <c r="H23" s="988"/>
      <c r="I23" s="988"/>
      <c r="J23" s="988"/>
      <c r="K23" s="988"/>
      <c r="L23" s="988"/>
      <c r="M23" s="988"/>
      <c r="N23" s="988"/>
      <c r="O23" s="3"/>
      <c r="P23" s="3"/>
      <c r="Q23" s="3"/>
      <c r="R23" s="3"/>
      <c r="S23" s="3"/>
      <c r="T23" s="3"/>
      <c r="U23" s="3"/>
      <c r="V23" s="3"/>
      <c r="W23" s="7"/>
      <c r="X23" s="7"/>
      <c r="Y23" s="7"/>
      <c r="Z23" s="7"/>
      <c r="AA23" s="7"/>
      <c r="AB23" s="7"/>
      <c r="AC23" s="7"/>
      <c r="AD23" s="7"/>
      <c r="AE23" s="7"/>
      <c r="AF23" s="7"/>
      <c r="AG23" s="7"/>
      <c r="AH23" s="7"/>
      <c r="AI23" s="7"/>
      <c r="AJ23" s="7"/>
      <c r="AK23" s="7"/>
      <c r="AL23" s="7"/>
      <c r="AM23" s="7"/>
      <c r="AN23" s="7"/>
      <c r="AO23" s="7"/>
      <c r="AP23" s="7"/>
      <c r="AQ23" s="3"/>
      <c r="AR23" s="3"/>
    </row>
    <row r="24" spans="1:44" s="1" customFormat="1" ht="45">
      <c r="A24" s="267" t="s">
        <v>593</v>
      </c>
      <c r="B24" s="267" t="s">
        <v>594</v>
      </c>
      <c r="C24" s="267" t="s">
        <v>589</v>
      </c>
      <c r="D24" s="267" t="s">
        <v>595</v>
      </c>
      <c r="E24" s="267" t="s">
        <v>589</v>
      </c>
      <c r="F24" s="267" t="s">
        <v>596</v>
      </c>
      <c r="G24" s="267" t="s">
        <v>589</v>
      </c>
      <c r="H24" s="267" t="s">
        <v>597</v>
      </c>
      <c r="I24" s="268"/>
      <c r="J24" s="268"/>
      <c r="K24" s="268"/>
      <c r="L24" s="268"/>
      <c r="M24" s="267" t="s">
        <v>597</v>
      </c>
      <c r="N24" s="267" t="s">
        <v>589</v>
      </c>
      <c r="O24" s="3"/>
      <c r="P24" s="3"/>
      <c r="Q24" s="3"/>
      <c r="R24" s="3"/>
      <c r="S24" s="3"/>
      <c r="T24" s="3"/>
      <c r="U24" s="3"/>
      <c r="V24" s="3"/>
      <c r="W24" s="7"/>
      <c r="X24" s="7"/>
      <c r="Y24" s="7"/>
      <c r="Z24" s="7"/>
      <c r="AA24" s="7"/>
      <c r="AB24" s="7"/>
      <c r="AC24" s="7"/>
      <c r="AD24" s="7"/>
      <c r="AE24" s="7"/>
      <c r="AF24" s="7"/>
      <c r="AG24" s="7"/>
      <c r="AH24" s="7"/>
      <c r="AI24" s="7"/>
      <c r="AJ24" s="7"/>
      <c r="AK24" s="7"/>
      <c r="AL24" s="7"/>
      <c r="AM24" s="7"/>
      <c r="AN24" s="7"/>
      <c r="AO24" s="7"/>
      <c r="AP24" s="7"/>
      <c r="AQ24" s="3"/>
      <c r="AR24" s="3"/>
    </row>
    <row r="25" spans="1:44" s="1" customFormat="1">
      <c r="A25" s="263">
        <f>X10</f>
        <v>30000000</v>
      </c>
      <c r="B25" s="263">
        <f>AC10</f>
        <v>0</v>
      </c>
      <c r="C25" s="266">
        <f>A25*B25/100</f>
        <v>0</v>
      </c>
      <c r="D25" s="263">
        <f>AD10</f>
        <v>0</v>
      </c>
      <c r="E25" s="266">
        <f>A25*D25/100</f>
        <v>0</v>
      </c>
      <c r="F25" s="263">
        <f>AE10</f>
        <v>0</v>
      </c>
      <c r="G25" s="266">
        <f>A25*F25/100</f>
        <v>0</v>
      </c>
      <c r="H25" s="263">
        <f>AF10</f>
        <v>0</v>
      </c>
      <c r="I25" s="260"/>
      <c r="J25" s="260"/>
      <c r="K25" s="260"/>
      <c r="L25" s="260"/>
      <c r="M25" s="275">
        <f>AE5</f>
        <v>0</v>
      </c>
      <c r="N25" s="266">
        <f>A25*H25/100</f>
        <v>0</v>
      </c>
      <c r="O25" s="3"/>
      <c r="P25" s="3"/>
      <c r="Q25" s="3"/>
      <c r="R25" s="3"/>
      <c r="S25" s="3"/>
      <c r="T25" s="3"/>
      <c r="U25" s="3"/>
      <c r="V25" s="3"/>
      <c r="W25" s="7"/>
      <c r="X25" s="7"/>
      <c r="Y25" s="7"/>
      <c r="Z25" s="7"/>
      <c r="AA25" s="7"/>
      <c r="AB25" s="7"/>
      <c r="AC25" s="7"/>
      <c r="AD25" s="7"/>
      <c r="AE25" s="7"/>
      <c r="AF25" s="7"/>
      <c r="AG25" s="7"/>
      <c r="AH25" s="7"/>
      <c r="AI25" s="7"/>
      <c r="AJ25" s="7"/>
      <c r="AK25" s="7"/>
      <c r="AL25" s="7"/>
      <c r="AM25" s="7"/>
      <c r="AN25" s="7"/>
      <c r="AO25" s="7"/>
      <c r="AP25" s="7"/>
      <c r="AQ25" s="3"/>
      <c r="AR25" s="3"/>
    </row>
    <row r="26" spans="1:44" s="1" customFormat="1">
      <c r="A26" s="259"/>
      <c r="B26" s="259"/>
      <c r="C26" s="259"/>
      <c r="D26" s="259"/>
      <c r="E26" s="259"/>
      <c r="F26" s="259"/>
      <c r="G26" s="259"/>
      <c r="H26" s="259"/>
      <c r="I26" s="260"/>
      <c r="J26" s="260"/>
      <c r="K26" s="260"/>
      <c r="L26" s="260"/>
      <c r="M26" s="261"/>
      <c r="N26" s="259"/>
      <c r="O26" s="3"/>
      <c r="P26" s="3"/>
      <c r="Q26" s="3"/>
      <c r="R26" s="3"/>
      <c r="S26" s="3"/>
      <c r="T26" s="3"/>
      <c r="U26" s="3"/>
      <c r="V26" s="3"/>
      <c r="W26" s="7"/>
      <c r="X26" s="7"/>
      <c r="Y26" s="7"/>
      <c r="Z26" s="7"/>
      <c r="AA26" s="7"/>
      <c r="AB26" s="7"/>
      <c r="AC26" s="7"/>
      <c r="AD26" s="7"/>
      <c r="AE26" s="7"/>
      <c r="AF26" s="7"/>
      <c r="AG26" s="7"/>
      <c r="AH26" s="7"/>
      <c r="AI26" s="7"/>
      <c r="AJ26" s="7"/>
      <c r="AK26" s="7"/>
      <c r="AL26" s="7"/>
      <c r="AM26" s="7"/>
      <c r="AN26" s="7"/>
      <c r="AO26" s="7"/>
      <c r="AP26" s="7"/>
      <c r="AQ26" s="3"/>
      <c r="AR26" s="3"/>
    </row>
    <row r="27" spans="1:44" s="1" customFormat="1">
      <c r="A27" s="3"/>
      <c r="B27" s="3"/>
      <c r="C27" s="3"/>
      <c r="D27" s="3"/>
      <c r="E27" s="3"/>
      <c r="F27" s="3"/>
      <c r="G27" s="3"/>
      <c r="H27" s="3"/>
      <c r="M27" s="5"/>
      <c r="N27" s="3"/>
      <c r="O27" s="3"/>
      <c r="P27" s="3"/>
      <c r="Q27" s="3"/>
      <c r="R27" s="3"/>
      <c r="S27" s="3"/>
      <c r="T27" s="3"/>
      <c r="U27" s="3"/>
      <c r="V27" s="3"/>
      <c r="W27" s="7"/>
      <c r="X27" s="7"/>
      <c r="Y27" s="7"/>
      <c r="Z27" s="7"/>
      <c r="AA27" s="7"/>
      <c r="AB27" s="7"/>
      <c r="AC27" s="7"/>
      <c r="AD27" s="7"/>
      <c r="AE27" s="7"/>
      <c r="AF27" s="7"/>
      <c r="AG27" s="7"/>
      <c r="AH27" s="7"/>
      <c r="AI27" s="7"/>
      <c r="AJ27" s="7"/>
      <c r="AK27" s="7"/>
      <c r="AL27" s="7"/>
      <c r="AM27" s="7"/>
      <c r="AN27" s="7"/>
      <c r="AO27" s="7"/>
      <c r="AP27" s="7"/>
      <c r="AQ27" s="3"/>
      <c r="AR27" s="3"/>
    </row>
    <row r="28" spans="1:44" s="1" customFormat="1" ht="15">
      <c r="A28" s="987" t="s">
        <v>603</v>
      </c>
      <c r="B28" s="987"/>
      <c r="C28" s="987"/>
      <c r="D28" s="987"/>
      <c r="E28" s="987"/>
      <c r="F28" s="987"/>
      <c r="G28" s="987"/>
      <c r="H28" s="987"/>
      <c r="I28" s="987"/>
      <c r="J28" s="987"/>
      <c r="K28" s="987"/>
      <c r="L28" s="987"/>
      <c r="M28" s="987"/>
      <c r="N28" s="987"/>
      <c r="O28" s="987"/>
      <c r="P28" s="3"/>
      <c r="Q28" s="3"/>
      <c r="R28" s="3"/>
      <c r="S28" s="3"/>
      <c r="T28" s="3"/>
      <c r="U28" s="3"/>
      <c r="V28" s="3"/>
      <c r="W28" s="7"/>
      <c r="X28" s="7"/>
      <c r="Y28" s="7"/>
      <c r="Z28" s="7"/>
      <c r="AA28" s="7"/>
      <c r="AB28" s="7"/>
      <c r="AC28" s="7"/>
      <c r="AD28" s="7"/>
      <c r="AE28" s="7"/>
      <c r="AF28" s="7"/>
      <c r="AG28" s="7"/>
      <c r="AH28" s="7"/>
      <c r="AI28" s="7"/>
      <c r="AJ28" s="7"/>
      <c r="AK28" s="7"/>
      <c r="AL28" s="7"/>
      <c r="AM28" s="7"/>
      <c r="AN28" s="7"/>
      <c r="AO28" s="7"/>
      <c r="AP28" s="7"/>
      <c r="AQ28" s="3"/>
      <c r="AR28" s="3"/>
    </row>
    <row r="29" spans="1:44" s="1" customFormat="1" ht="60">
      <c r="A29" s="269" t="s">
        <v>598</v>
      </c>
      <c r="B29" s="270" t="s">
        <v>587</v>
      </c>
      <c r="C29" s="270" t="s">
        <v>588</v>
      </c>
      <c r="D29" s="270" t="s">
        <v>589</v>
      </c>
      <c r="E29" s="270" t="s">
        <v>590</v>
      </c>
      <c r="F29" s="270" t="s">
        <v>589</v>
      </c>
      <c r="G29" s="270" t="s">
        <v>591</v>
      </c>
      <c r="H29" s="270" t="s">
        <v>589</v>
      </c>
      <c r="I29" s="270"/>
      <c r="J29" s="271"/>
      <c r="K29" s="271"/>
      <c r="L29" s="271"/>
      <c r="M29" s="270" t="s">
        <v>589</v>
      </c>
      <c r="N29" s="270" t="s">
        <v>592</v>
      </c>
      <c r="O29" s="270" t="s">
        <v>589</v>
      </c>
      <c r="P29" s="3"/>
      <c r="Q29" s="3"/>
      <c r="R29" s="3"/>
      <c r="S29" s="3"/>
      <c r="T29" s="3"/>
      <c r="U29" s="3"/>
      <c r="V29" s="3"/>
      <c r="W29" s="7"/>
      <c r="X29" s="7"/>
      <c r="Y29" s="7"/>
      <c r="Z29" s="7"/>
      <c r="AA29" s="7"/>
      <c r="AB29" s="7"/>
      <c r="AC29" s="7"/>
      <c r="AD29" s="7"/>
      <c r="AE29" s="7"/>
      <c r="AF29" s="7"/>
      <c r="AG29" s="7"/>
      <c r="AH29" s="7"/>
      <c r="AI29" s="7"/>
      <c r="AJ29" s="7"/>
      <c r="AK29" s="7"/>
      <c r="AL29" s="7"/>
      <c r="AM29" s="7"/>
      <c r="AN29" s="7"/>
      <c r="AO29" s="7"/>
      <c r="AP29" s="7"/>
      <c r="AQ29" s="3"/>
      <c r="AR29" s="3"/>
    </row>
    <row r="30" spans="1:44" s="1" customFormat="1">
      <c r="A30" s="259" t="s">
        <v>599</v>
      </c>
      <c r="B30" s="259">
        <f>O13</f>
        <v>2</v>
      </c>
      <c r="C30" s="259">
        <f>Y13</f>
        <v>0</v>
      </c>
      <c r="D30" s="266">
        <f>B30*C30/100</f>
        <v>0</v>
      </c>
      <c r="E30" s="259">
        <f>Z13</f>
        <v>0</v>
      </c>
      <c r="F30" s="266">
        <f>B30*E30/100</f>
        <v>0</v>
      </c>
      <c r="G30" s="259">
        <f>AA13</f>
        <v>0</v>
      </c>
      <c r="H30" s="266">
        <f>B30*G30/100</f>
        <v>0</v>
      </c>
      <c r="I30" s="260"/>
      <c r="J30" s="260"/>
      <c r="K30" s="260"/>
      <c r="L30" s="260"/>
      <c r="M30" s="261"/>
      <c r="N30" s="259">
        <f>AB13</f>
        <v>0</v>
      </c>
      <c r="O30" s="266">
        <f>B30*N30/100</f>
        <v>0</v>
      </c>
      <c r="P30" s="3"/>
      <c r="Q30" s="3"/>
      <c r="R30" s="3"/>
      <c r="S30" s="3"/>
      <c r="T30" s="3"/>
      <c r="U30" s="3"/>
      <c r="V30" s="3"/>
      <c r="W30" s="7"/>
      <c r="X30" s="7"/>
      <c r="Y30" s="7"/>
      <c r="Z30" s="7"/>
      <c r="AA30" s="7"/>
      <c r="AB30" s="7"/>
      <c r="AC30" s="7"/>
      <c r="AD30" s="7"/>
      <c r="AE30" s="7"/>
      <c r="AF30" s="7"/>
      <c r="AG30" s="7"/>
      <c r="AH30" s="7"/>
      <c r="AI30" s="7"/>
      <c r="AJ30" s="7"/>
      <c r="AK30" s="7"/>
      <c r="AL30" s="7"/>
      <c r="AM30" s="7"/>
      <c r="AN30" s="7"/>
      <c r="AO30" s="7"/>
      <c r="AP30" s="7"/>
      <c r="AQ30" s="3"/>
      <c r="AR30" s="3"/>
    </row>
    <row r="31" spans="1:44" s="1" customFormat="1">
      <c r="A31" s="3"/>
      <c r="B31" s="3"/>
      <c r="C31" s="3"/>
      <c r="D31" s="3"/>
      <c r="E31" s="3"/>
      <c r="F31" s="3"/>
      <c r="G31" s="3"/>
      <c r="H31" s="3"/>
      <c r="M31" s="5"/>
      <c r="N31" s="3"/>
      <c r="O31" s="3"/>
      <c r="P31" s="3"/>
      <c r="Q31" s="3"/>
      <c r="R31" s="3"/>
      <c r="S31" s="3"/>
      <c r="T31" s="3"/>
      <c r="U31" s="3"/>
      <c r="V31" s="3"/>
      <c r="W31" s="7"/>
      <c r="X31" s="7"/>
      <c r="Y31" s="7"/>
      <c r="Z31" s="7"/>
      <c r="AA31" s="7"/>
      <c r="AB31" s="7"/>
      <c r="AC31" s="7"/>
      <c r="AD31" s="7"/>
      <c r="AE31" s="7"/>
      <c r="AF31" s="7"/>
      <c r="AG31" s="7"/>
      <c r="AH31" s="7"/>
      <c r="AI31" s="7"/>
      <c r="AJ31" s="7"/>
      <c r="AK31" s="7"/>
      <c r="AL31" s="7"/>
      <c r="AM31" s="7"/>
      <c r="AN31" s="7"/>
      <c r="AO31" s="7"/>
      <c r="AP31" s="7"/>
      <c r="AQ31" s="3"/>
      <c r="AR31" s="3"/>
    </row>
    <row r="32" spans="1:44" s="1" customFormat="1" ht="15">
      <c r="A32" s="988" t="s">
        <v>604</v>
      </c>
      <c r="B32" s="988"/>
      <c r="C32" s="988"/>
      <c r="D32" s="988"/>
      <c r="E32" s="988"/>
      <c r="F32" s="988"/>
      <c r="G32" s="988"/>
      <c r="H32" s="988"/>
      <c r="I32" s="988"/>
      <c r="J32" s="988"/>
      <c r="K32" s="988"/>
      <c r="L32" s="988"/>
      <c r="M32" s="988"/>
      <c r="N32" s="988"/>
      <c r="O32" s="3"/>
      <c r="P32" s="3"/>
      <c r="Q32" s="3"/>
      <c r="R32" s="3"/>
      <c r="S32" s="3"/>
      <c r="T32" s="3"/>
      <c r="U32" s="3"/>
      <c r="V32" s="3"/>
      <c r="W32" s="7"/>
      <c r="X32" s="7"/>
      <c r="Y32" s="7"/>
      <c r="Z32" s="7"/>
      <c r="AA32" s="7"/>
      <c r="AB32" s="7"/>
      <c r="AC32" s="7"/>
      <c r="AD32" s="7"/>
      <c r="AE32" s="7"/>
      <c r="AF32" s="7"/>
      <c r="AG32" s="7"/>
      <c r="AH32" s="7"/>
      <c r="AI32" s="7"/>
      <c r="AJ32" s="7"/>
      <c r="AK32" s="7"/>
      <c r="AL32" s="7"/>
      <c r="AM32" s="7"/>
      <c r="AN32" s="7"/>
      <c r="AO32" s="7"/>
      <c r="AP32" s="7"/>
      <c r="AQ32" s="3"/>
      <c r="AR32" s="3"/>
    </row>
    <row r="33" spans="1:44" s="1" customFormat="1" ht="45">
      <c r="A33" s="267" t="s">
        <v>593</v>
      </c>
      <c r="B33" s="267" t="s">
        <v>594</v>
      </c>
      <c r="C33" s="267" t="s">
        <v>589</v>
      </c>
      <c r="D33" s="267" t="s">
        <v>595</v>
      </c>
      <c r="E33" s="267" t="s">
        <v>589</v>
      </c>
      <c r="F33" s="267" t="s">
        <v>596</v>
      </c>
      <c r="G33" s="267" t="s">
        <v>589</v>
      </c>
      <c r="H33" s="267" t="s">
        <v>597</v>
      </c>
      <c r="I33" s="268"/>
      <c r="J33" s="268"/>
      <c r="K33" s="268"/>
      <c r="L33" s="268"/>
      <c r="M33" s="267" t="s">
        <v>597</v>
      </c>
      <c r="N33" s="267" t="s">
        <v>589</v>
      </c>
      <c r="O33" s="3"/>
      <c r="P33" s="3"/>
      <c r="Q33" s="3"/>
      <c r="R33" s="3"/>
      <c r="S33" s="3"/>
      <c r="T33" s="3"/>
      <c r="U33" s="3"/>
      <c r="V33" s="3"/>
      <c r="W33" s="7"/>
      <c r="X33" s="7"/>
      <c r="Y33" s="7"/>
      <c r="Z33" s="7"/>
      <c r="AA33" s="7"/>
      <c r="AB33" s="7"/>
      <c r="AC33" s="7"/>
      <c r="AD33" s="7"/>
      <c r="AE33" s="7"/>
      <c r="AF33" s="7"/>
      <c r="AG33" s="7"/>
      <c r="AH33" s="7"/>
      <c r="AI33" s="7"/>
      <c r="AJ33" s="7"/>
      <c r="AK33" s="7"/>
      <c r="AL33" s="7"/>
      <c r="AM33" s="7"/>
      <c r="AN33" s="7"/>
      <c r="AO33" s="7"/>
      <c r="AP33" s="7"/>
      <c r="AQ33" s="3"/>
      <c r="AR33" s="3"/>
    </row>
    <row r="34" spans="1:44" s="1" customFormat="1" ht="15">
      <c r="A34" s="272">
        <f>X13</f>
        <v>89838668.807999998</v>
      </c>
      <c r="B34" s="272">
        <f>AC13</f>
        <v>34848791</v>
      </c>
      <c r="C34" s="311">
        <f>A34*B34/100</f>
        <v>31307689930082.109</v>
      </c>
      <c r="D34" s="272">
        <f>AD13</f>
        <v>34848791</v>
      </c>
      <c r="E34" s="312">
        <f>A34*D34/100</f>
        <v>31307689930082.109</v>
      </c>
      <c r="F34" s="272">
        <f>AD13</f>
        <v>34848791</v>
      </c>
      <c r="G34" s="312">
        <f>A34*F34/100</f>
        <v>31307689930082.109</v>
      </c>
      <c r="H34" s="272">
        <f>AE13</f>
        <v>0</v>
      </c>
      <c r="I34" s="273"/>
      <c r="J34" s="273"/>
      <c r="K34" s="273"/>
      <c r="L34" s="273"/>
      <c r="M34" s="276">
        <f>AE11</f>
        <v>0</v>
      </c>
      <c r="N34" s="312">
        <f>A34*H34/100</f>
        <v>0</v>
      </c>
      <c r="O34" s="3"/>
      <c r="P34" s="3"/>
      <c r="Q34" s="3"/>
      <c r="R34" s="3"/>
      <c r="S34" s="3"/>
      <c r="T34" s="3"/>
      <c r="U34" s="3"/>
      <c r="V34" s="3"/>
      <c r="W34" s="7"/>
      <c r="X34" s="7"/>
      <c r="Y34" s="7"/>
      <c r="Z34" s="7"/>
      <c r="AA34" s="7"/>
      <c r="AB34" s="7"/>
      <c r="AC34" s="7"/>
      <c r="AD34" s="7"/>
      <c r="AE34" s="7"/>
      <c r="AF34" s="7"/>
      <c r="AG34" s="7"/>
      <c r="AH34" s="7"/>
      <c r="AI34" s="7"/>
      <c r="AJ34" s="7"/>
      <c r="AK34" s="7"/>
      <c r="AL34" s="7"/>
      <c r="AM34" s="7"/>
      <c r="AN34" s="7"/>
      <c r="AO34" s="7"/>
      <c r="AP34" s="7"/>
      <c r="AQ34" s="3"/>
      <c r="AR34" s="3"/>
    </row>
    <row r="35" spans="1:44" s="1" customFormat="1">
      <c r="A35" s="259"/>
      <c r="B35" s="259"/>
      <c r="C35" s="259"/>
      <c r="D35" s="259"/>
      <c r="E35" s="259"/>
      <c r="F35" s="259"/>
      <c r="G35" s="259"/>
      <c r="H35" s="259"/>
      <c r="I35" s="260"/>
      <c r="J35" s="260"/>
      <c r="K35" s="260"/>
      <c r="L35" s="260"/>
      <c r="M35" s="261"/>
      <c r="N35" s="259"/>
      <c r="O35" s="3"/>
      <c r="P35" s="3"/>
      <c r="Q35" s="3"/>
      <c r="R35" s="3"/>
      <c r="S35" s="3"/>
      <c r="T35" s="3"/>
      <c r="U35" s="3"/>
      <c r="V35" s="3"/>
      <c r="W35" s="7"/>
      <c r="X35" s="7"/>
      <c r="Y35" s="7"/>
      <c r="Z35" s="7"/>
      <c r="AA35" s="7"/>
      <c r="AB35" s="7"/>
      <c r="AC35" s="7"/>
      <c r="AD35" s="7"/>
      <c r="AE35" s="7"/>
      <c r="AF35" s="7"/>
      <c r="AG35" s="7"/>
      <c r="AH35" s="7"/>
      <c r="AI35" s="7"/>
      <c r="AJ35" s="7"/>
      <c r="AK35" s="7"/>
      <c r="AL35" s="7"/>
      <c r="AM35" s="7"/>
      <c r="AN35" s="7"/>
      <c r="AO35" s="7"/>
      <c r="AP35" s="7"/>
      <c r="AQ35" s="3"/>
      <c r="AR35" s="3"/>
    </row>
    <row r="36" spans="1:44" s="1" customFormat="1">
      <c r="A36" s="3"/>
      <c r="B36" s="3"/>
      <c r="C36" s="3"/>
      <c r="D36" s="3"/>
      <c r="E36" s="3"/>
      <c r="F36" s="3"/>
      <c r="G36" s="3"/>
      <c r="H36" s="3"/>
      <c r="M36" s="5"/>
      <c r="N36" s="3"/>
      <c r="O36" s="3"/>
      <c r="P36" s="3"/>
      <c r="Q36" s="3"/>
      <c r="R36" s="3"/>
      <c r="S36" s="3"/>
      <c r="T36" s="3"/>
      <c r="U36" s="3"/>
      <c r="V36" s="3"/>
      <c r="W36" s="7"/>
      <c r="X36" s="7"/>
      <c r="Y36" s="7"/>
      <c r="Z36" s="7"/>
      <c r="AA36" s="7"/>
      <c r="AB36" s="7"/>
      <c r="AC36" s="7"/>
      <c r="AD36" s="7"/>
      <c r="AE36" s="7"/>
      <c r="AF36" s="7"/>
      <c r="AG36" s="7"/>
      <c r="AH36" s="7"/>
      <c r="AI36" s="7"/>
      <c r="AJ36" s="7"/>
      <c r="AK36" s="7"/>
      <c r="AL36" s="7"/>
      <c r="AM36" s="7"/>
      <c r="AN36" s="7"/>
      <c r="AO36" s="7"/>
      <c r="AP36" s="7"/>
      <c r="AQ36" s="3"/>
      <c r="AR36" s="3"/>
    </row>
    <row r="37" spans="1:44">
      <c r="I37" s="2"/>
      <c r="M37" s="5"/>
      <c r="N37" s="3"/>
    </row>
    <row r="38" spans="1:44" ht="15">
      <c r="A38" s="987" t="s">
        <v>632</v>
      </c>
      <c r="B38" s="987"/>
      <c r="C38" s="987"/>
      <c r="D38" s="987"/>
      <c r="E38" s="987"/>
      <c r="F38" s="987"/>
      <c r="G38" s="987"/>
      <c r="H38" s="987"/>
      <c r="I38" s="987"/>
      <c r="J38" s="987"/>
      <c r="K38" s="987"/>
      <c r="L38" s="987"/>
      <c r="M38" s="987"/>
      <c r="N38" s="987"/>
      <c r="O38" s="987"/>
    </row>
    <row r="39" spans="1:44" ht="60">
      <c r="A39" s="269" t="s">
        <v>598</v>
      </c>
      <c r="B39" s="270" t="s">
        <v>587</v>
      </c>
      <c r="C39" s="270" t="s">
        <v>588</v>
      </c>
      <c r="D39" s="270" t="s">
        <v>589</v>
      </c>
      <c r="E39" s="270" t="s">
        <v>590</v>
      </c>
      <c r="F39" s="270" t="s">
        <v>589</v>
      </c>
      <c r="G39" s="270" t="s">
        <v>591</v>
      </c>
      <c r="H39" s="270" t="s">
        <v>589</v>
      </c>
      <c r="I39" s="270"/>
      <c r="J39" s="271"/>
      <c r="K39" s="271"/>
      <c r="L39" s="271"/>
      <c r="M39" s="271"/>
      <c r="N39" s="270" t="s">
        <v>592</v>
      </c>
      <c r="O39" s="270" t="s">
        <v>589</v>
      </c>
    </row>
    <row r="40" spans="1:44">
      <c r="A40" s="259" t="s">
        <v>599</v>
      </c>
      <c r="B40" s="259">
        <f>B30+B21</f>
        <v>12</v>
      </c>
      <c r="C40" s="259">
        <f>C30+C21</f>
        <v>0</v>
      </c>
      <c r="D40" s="266">
        <f>B40*C40/100</f>
        <v>0</v>
      </c>
      <c r="E40" s="259">
        <f>E30+E21</f>
        <v>0</v>
      </c>
      <c r="F40" s="266">
        <f>B40*E40/100</f>
        <v>0</v>
      </c>
      <c r="G40" s="259">
        <f>G30+G21</f>
        <v>0</v>
      </c>
      <c r="H40" s="266">
        <f>B40*G40/100</f>
        <v>0</v>
      </c>
      <c r="I40" s="260"/>
      <c r="J40" s="260"/>
      <c r="K40" s="260"/>
      <c r="L40" s="260"/>
      <c r="M40" s="261"/>
      <c r="N40" s="259">
        <f>N30+N21</f>
        <v>0</v>
      </c>
      <c r="O40" s="266">
        <f>B40*N40/100</f>
        <v>0</v>
      </c>
    </row>
    <row r="41" spans="1:44">
      <c r="I41" s="1"/>
      <c r="J41" s="1"/>
      <c r="K41" s="1"/>
      <c r="L41" s="1"/>
      <c r="M41" s="5"/>
      <c r="N41" s="3"/>
    </row>
    <row r="42" spans="1:44" ht="15">
      <c r="A42" s="988" t="s">
        <v>633</v>
      </c>
      <c r="B42" s="988"/>
      <c r="C42" s="988"/>
      <c r="D42" s="988"/>
      <c r="E42" s="988"/>
      <c r="F42" s="988"/>
      <c r="G42" s="988"/>
      <c r="H42" s="988"/>
      <c r="I42" s="988"/>
      <c r="J42" s="988"/>
      <c r="K42" s="988"/>
      <c r="L42" s="988"/>
      <c r="M42" s="988"/>
      <c r="N42" s="988"/>
    </row>
    <row r="43" spans="1:44" ht="45">
      <c r="A43" s="267" t="s">
        <v>593</v>
      </c>
      <c r="B43" s="267" t="s">
        <v>594</v>
      </c>
      <c r="C43" s="267" t="s">
        <v>589</v>
      </c>
      <c r="D43" s="267" t="s">
        <v>595</v>
      </c>
      <c r="E43" s="267" t="s">
        <v>589</v>
      </c>
      <c r="F43" s="267" t="s">
        <v>596</v>
      </c>
      <c r="G43" s="267" t="s">
        <v>589</v>
      </c>
      <c r="H43" s="267" t="s">
        <v>597</v>
      </c>
      <c r="I43" s="268"/>
      <c r="J43" s="268"/>
      <c r="K43" s="268"/>
      <c r="L43" s="268"/>
      <c r="M43" s="267" t="s">
        <v>597</v>
      </c>
      <c r="N43" s="267" t="s">
        <v>589</v>
      </c>
    </row>
    <row r="44" spans="1:44">
      <c r="A44" s="263">
        <f>A34+A25</f>
        <v>119838668.808</v>
      </c>
      <c r="B44" s="263">
        <f>B34+B25</f>
        <v>34848791</v>
      </c>
      <c r="C44" s="264">
        <f>A44*B44/100</f>
        <v>41762327230082.109</v>
      </c>
      <c r="D44" s="263">
        <f>D34+D25</f>
        <v>34848791</v>
      </c>
      <c r="E44" s="266">
        <f>A44*D44/100</f>
        <v>41762327230082.109</v>
      </c>
      <c r="F44" s="263">
        <f>F34+F25</f>
        <v>34848791</v>
      </c>
      <c r="G44" s="266">
        <f>A44*F44/100</f>
        <v>41762327230082.109</v>
      </c>
      <c r="H44" s="263">
        <f>H34+H25</f>
        <v>0</v>
      </c>
      <c r="I44" s="260"/>
      <c r="J44" s="260"/>
      <c r="K44" s="260"/>
      <c r="L44" s="260"/>
      <c r="M44" s="275" t="e">
        <f>#REF!+M34+M25</f>
        <v>#REF!</v>
      </c>
      <c r="N44" s="266">
        <f>A44*H44/100</f>
        <v>0</v>
      </c>
    </row>
    <row r="45" spans="1:44">
      <c r="A45" s="259"/>
      <c r="B45" s="259"/>
      <c r="C45" s="259"/>
      <c r="D45" s="259"/>
      <c r="E45" s="259"/>
      <c r="F45" s="259"/>
      <c r="G45" s="259"/>
      <c r="H45" s="259"/>
      <c r="I45" s="260"/>
      <c r="J45" s="260"/>
      <c r="K45" s="260"/>
      <c r="L45" s="260"/>
      <c r="M45" s="261"/>
      <c r="N45" s="259"/>
    </row>
    <row r="46" spans="1:44">
      <c r="I46" s="2"/>
      <c r="M46" s="5"/>
      <c r="N46" s="3"/>
    </row>
    <row r="47" spans="1:44">
      <c r="A47" s="5"/>
      <c r="J47" s="7"/>
      <c r="K47" s="7"/>
      <c r="L47" s="7"/>
      <c r="M47" s="7"/>
      <c r="N47" s="7"/>
      <c r="O47" s="7"/>
    </row>
    <row r="48" spans="1:44">
      <c r="A48" s="5"/>
      <c r="J48" s="7"/>
      <c r="K48" s="7"/>
      <c r="L48" s="7"/>
      <c r="M48" s="7"/>
      <c r="N48" s="7"/>
      <c r="O48" s="7"/>
    </row>
    <row r="49" spans="1:15">
      <c r="A49" s="5"/>
      <c r="J49" s="7"/>
      <c r="K49" s="7"/>
      <c r="L49" s="7"/>
      <c r="M49" s="7"/>
      <c r="N49" s="7"/>
      <c r="O49" s="7"/>
    </row>
  </sheetData>
  <mergeCells count="48">
    <mergeCell ref="A1:AR1"/>
    <mergeCell ref="AT1:AX1"/>
    <mergeCell ref="A2:AR2"/>
    <mergeCell ref="B3:AR3"/>
    <mergeCell ref="A42:N42"/>
    <mergeCell ref="A38:O38"/>
    <mergeCell ref="A32:N32"/>
    <mergeCell ref="AR6:AR7"/>
    <mergeCell ref="R6:R7"/>
    <mergeCell ref="S6:S7"/>
    <mergeCell ref="T6:T7"/>
    <mergeCell ref="U6:X6"/>
    <mergeCell ref="Y6:AE6"/>
    <mergeCell ref="AQ6:AQ7"/>
    <mergeCell ref="A6:B6"/>
    <mergeCell ref="C6:F6"/>
    <mergeCell ref="H6:K6"/>
    <mergeCell ref="L6:L7"/>
    <mergeCell ref="M6:M7"/>
    <mergeCell ref="N6:N7"/>
    <mergeCell ref="AS8:AS12"/>
    <mergeCell ref="G8:G9"/>
    <mergeCell ref="H8:H9"/>
    <mergeCell ref="A28:O28"/>
    <mergeCell ref="G11:G12"/>
    <mergeCell ref="M11:M12"/>
    <mergeCell ref="A11:A12"/>
    <mergeCell ref="B11:B12"/>
    <mergeCell ref="C11:C12"/>
    <mergeCell ref="D11:D12"/>
    <mergeCell ref="E11:E12"/>
    <mergeCell ref="F11:F12"/>
    <mergeCell ref="A4:AR4"/>
    <mergeCell ref="A10:N10"/>
    <mergeCell ref="A13:N13"/>
    <mergeCell ref="A19:O19"/>
    <mergeCell ref="A23:N23"/>
    <mergeCell ref="I8:I9"/>
    <mergeCell ref="J8:J9"/>
    <mergeCell ref="K8:K9"/>
    <mergeCell ref="M8:M9"/>
    <mergeCell ref="N8:N9"/>
    <mergeCell ref="A5:AR5"/>
    <mergeCell ref="O6:O7"/>
    <mergeCell ref="P6:P7"/>
    <mergeCell ref="Q6:Q7"/>
    <mergeCell ref="A8:A9"/>
    <mergeCell ref="B8:B9"/>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6EADE-7507-4BEE-81FA-0DCADC9C524C}">
  <dimension ref="A1:AY51"/>
  <sheetViews>
    <sheetView topLeftCell="O4" zoomScale="60" zoomScaleNormal="60" workbookViewId="0">
      <selection activeCell="Y15" sqref="Y15:Y18"/>
    </sheetView>
  </sheetViews>
  <sheetFormatPr baseColWidth="10" defaultColWidth="11.42578125" defaultRowHeight="14.25"/>
  <cols>
    <col min="1" max="1" width="32.42578125" style="3" customWidth="1"/>
    <col min="2" max="2" width="28.42578125" style="3" customWidth="1"/>
    <col min="3" max="3" width="24" style="3" customWidth="1"/>
    <col min="4" max="4" width="30.42578125" style="3" customWidth="1"/>
    <col min="5" max="5" width="24.42578125" style="3" customWidth="1"/>
    <col min="6" max="6" width="18.42578125" style="3" customWidth="1"/>
    <col min="7" max="7" width="20.28515625" style="3" customWidth="1"/>
    <col min="8" max="8" width="37.42578125" style="3" customWidth="1"/>
    <col min="9" max="9" width="15" style="3" hidden="1" customWidth="1"/>
    <col min="10" max="11" width="12.7109375" style="2" hidden="1" customWidth="1"/>
    <col min="12" max="12" width="38.42578125" style="2" hidden="1" customWidth="1"/>
    <col min="13" max="13" width="57.42578125" style="2" hidden="1" customWidth="1"/>
    <col min="14" max="14" width="38.140625" style="5" customWidth="1"/>
    <col min="15" max="16" width="15" style="3" customWidth="1"/>
    <col min="17" max="17" width="16.28515625" style="3" customWidth="1"/>
    <col min="18" max="18" width="16.7109375" style="3" customWidth="1"/>
    <col min="19" max="19" width="16.85546875" style="3" customWidth="1"/>
    <col min="20" max="20" width="18" style="3" customWidth="1"/>
    <col min="21" max="21" width="20.140625" style="3" customWidth="1"/>
    <col min="22" max="22" width="21.42578125" style="3" customWidth="1"/>
    <col min="23" max="24" width="27.7109375" style="7" customWidth="1"/>
    <col min="25" max="25" width="25.42578125" style="7" bestFit="1" customWidth="1"/>
    <col min="26" max="35" width="25.42578125" style="7" customWidth="1"/>
    <col min="36" max="38" width="34.28515625" style="7" customWidth="1"/>
    <col min="39" max="43" width="43.85546875" style="7" customWidth="1"/>
    <col min="44" max="44" width="20" style="3" customWidth="1"/>
    <col min="45" max="45" width="20.140625" style="3" customWidth="1"/>
    <col min="46" max="46" width="30.28515625" style="2" hidden="1" customWidth="1"/>
    <col min="47" max="48" width="17.42578125" style="2" customWidth="1"/>
    <col min="49" max="49" width="21.140625" style="2" customWidth="1"/>
    <col min="50" max="50" width="16.7109375" style="2" customWidth="1"/>
    <col min="51" max="51" width="20.140625" style="2" customWidth="1"/>
    <col min="52" max="16384" width="11.42578125" style="2"/>
  </cols>
  <sheetData>
    <row r="1" spans="1:51" s="1" customFormat="1" ht="30.75" customHeight="1" thickTop="1" thickBot="1">
      <c r="A1" s="846"/>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22"/>
      <c r="AU1" s="823" t="s">
        <v>34</v>
      </c>
      <c r="AV1" s="823"/>
      <c r="AW1" s="823"/>
      <c r="AX1" s="823"/>
      <c r="AY1" s="824"/>
    </row>
    <row r="2" spans="1:51" s="1" customFormat="1" ht="27.95" customHeight="1" thickTop="1" thickBot="1">
      <c r="A2" s="856"/>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856"/>
      <c r="AQ2" s="856"/>
      <c r="AR2" s="856"/>
      <c r="AS2" s="856"/>
      <c r="AT2" s="22"/>
      <c r="AU2" s="253" t="s">
        <v>35</v>
      </c>
      <c r="AV2" s="20" t="s">
        <v>36</v>
      </c>
      <c r="AW2" s="16" t="s">
        <v>37</v>
      </c>
      <c r="AX2" s="16" t="s">
        <v>38</v>
      </c>
      <c r="AY2" s="16" t="s">
        <v>29</v>
      </c>
    </row>
    <row r="3" spans="1:51" s="1" customFormat="1" ht="25.5" customHeight="1" thickTop="1" thickBot="1">
      <c r="A3" s="256"/>
      <c r="B3" s="1041" t="s">
        <v>618</v>
      </c>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c r="AJ3" s="1042"/>
      <c r="AK3" s="1042"/>
      <c r="AL3" s="1042"/>
      <c r="AM3" s="1042"/>
      <c r="AN3" s="1042"/>
      <c r="AO3" s="1042"/>
      <c r="AP3" s="1042"/>
      <c r="AQ3" s="1042"/>
      <c r="AR3" s="1042"/>
      <c r="AS3" s="1043"/>
      <c r="AT3" s="23"/>
      <c r="AU3" s="28"/>
      <c r="AV3" s="21"/>
      <c r="AW3" s="17"/>
      <c r="AX3" s="18"/>
      <c r="AY3" s="19"/>
    </row>
    <row r="4" spans="1:51" s="1" customFormat="1" ht="27.95" customHeight="1" thickTop="1" thickBot="1">
      <c r="A4" s="1044" t="s">
        <v>619</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5"/>
      <c r="AK4" s="1045"/>
      <c r="AL4" s="1045"/>
      <c r="AM4" s="1045"/>
      <c r="AN4" s="1045"/>
      <c r="AO4" s="1045"/>
      <c r="AP4" s="1045"/>
      <c r="AQ4" s="1045"/>
      <c r="AR4" s="1045"/>
      <c r="AS4" s="1046"/>
      <c r="AT4" s="23"/>
      <c r="AU4" s="28"/>
      <c r="AV4" s="21"/>
      <c r="AW4" s="17"/>
      <c r="AX4" s="18"/>
      <c r="AY4" s="19"/>
    </row>
    <row r="5" spans="1:51" s="1" customFormat="1" ht="27.95" customHeight="1" thickTop="1" thickBot="1">
      <c r="A5" s="825"/>
      <c r="B5" s="825"/>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c r="AR5" s="825"/>
      <c r="AS5" s="825"/>
      <c r="AT5" s="163"/>
      <c r="AU5" s="28"/>
      <c r="AV5" s="21"/>
      <c r="AW5" s="17"/>
      <c r="AX5" s="18"/>
      <c r="AY5" s="19"/>
    </row>
    <row r="6" spans="1:51" ht="27.95" customHeight="1" thickBot="1">
      <c r="A6" s="830"/>
      <c r="B6" s="831"/>
      <c r="C6" s="832" t="s">
        <v>45</v>
      </c>
      <c r="D6" s="830"/>
      <c r="E6" s="830"/>
      <c r="F6" s="831"/>
      <c r="G6" s="29"/>
      <c r="H6" s="875" t="s">
        <v>311</v>
      </c>
      <c r="I6" s="875"/>
      <c r="J6" s="875"/>
      <c r="K6" s="875"/>
      <c r="L6" s="829" t="s">
        <v>44</v>
      </c>
      <c r="M6" s="829" t="s">
        <v>10</v>
      </c>
      <c r="N6" s="1039" t="s">
        <v>1</v>
      </c>
      <c r="O6" s="879" t="s">
        <v>48</v>
      </c>
      <c r="P6" s="879" t="s">
        <v>2</v>
      </c>
      <c r="Q6" s="879" t="s">
        <v>3</v>
      </c>
      <c r="R6" s="879" t="s">
        <v>4</v>
      </c>
      <c r="S6" s="879" t="s">
        <v>5</v>
      </c>
      <c r="T6" s="879" t="s">
        <v>6</v>
      </c>
      <c r="U6" s="878" t="s">
        <v>7</v>
      </c>
      <c r="V6" s="878"/>
      <c r="W6" s="878"/>
      <c r="X6" s="878"/>
      <c r="Y6" s="878"/>
      <c r="Z6" s="843" t="s">
        <v>564</v>
      </c>
      <c r="AA6" s="844"/>
      <c r="AB6" s="844"/>
      <c r="AC6" s="844"/>
      <c r="AD6" s="844"/>
      <c r="AE6" s="844"/>
      <c r="AF6" s="845"/>
      <c r="AG6" s="248"/>
      <c r="AH6" s="248"/>
      <c r="AI6" s="248"/>
      <c r="AJ6" s="248"/>
      <c r="AK6" s="248"/>
      <c r="AL6" s="248"/>
      <c r="AM6" s="248"/>
      <c r="AN6" s="248"/>
      <c r="AO6" s="248"/>
      <c r="AP6" s="248"/>
      <c r="AQ6" s="248"/>
      <c r="AR6" s="879" t="s">
        <v>8</v>
      </c>
      <c r="AS6" s="871" t="s">
        <v>9</v>
      </c>
      <c r="AT6" s="164"/>
      <c r="AU6" s="20" t="s">
        <v>39</v>
      </c>
      <c r="AV6" s="15" t="s">
        <v>30</v>
      </c>
      <c r="AW6" s="16" t="s">
        <v>31</v>
      </c>
      <c r="AX6" s="16" t="s">
        <v>32</v>
      </c>
      <c r="AY6" s="16" t="s">
        <v>33</v>
      </c>
    </row>
    <row r="7" spans="1:51" ht="68.25" customHeight="1" thickTop="1" thickBot="1">
      <c r="A7" s="24" t="s">
        <v>42</v>
      </c>
      <c r="B7" s="24" t="s">
        <v>43</v>
      </c>
      <c r="C7" s="24" t="s">
        <v>11</v>
      </c>
      <c r="D7" s="24" t="s">
        <v>52</v>
      </c>
      <c r="E7" s="24" t="s">
        <v>12</v>
      </c>
      <c r="F7" s="24" t="s">
        <v>47</v>
      </c>
      <c r="G7" s="24" t="s">
        <v>41</v>
      </c>
      <c r="H7" s="30" t="s">
        <v>46</v>
      </c>
      <c r="I7" s="24" t="s">
        <v>52</v>
      </c>
      <c r="J7" s="24" t="s">
        <v>12</v>
      </c>
      <c r="K7" s="24" t="s">
        <v>47</v>
      </c>
      <c r="L7" s="829"/>
      <c r="M7" s="829"/>
      <c r="N7" s="1040"/>
      <c r="O7" s="880"/>
      <c r="P7" s="880"/>
      <c r="Q7" s="880"/>
      <c r="R7" s="880"/>
      <c r="S7" s="880"/>
      <c r="T7" s="880"/>
      <c r="U7" s="24" t="s">
        <v>13</v>
      </c>
      <c r="V7" s="24" t="s">
        <v>14</v>
      </c>
      <c r="W7" s="4" t="s">
        <v>15</v>
      </c>
      <c r="X7" s="4" t="s">
        <v>689</v>
      </c>
      <c r="Y7" s="4" t="s">
        <v>16</v>
      </c>
      <c r="Z7" s="4" t="s">
        <v>565</v>
      </c>
      <c r="AA7" s="4" t="s">
        <v>566</v>
      </c>
      <c r="AB7" s="4" t="s">
        <v>567</v>
      </c>
      <c r="AC7" s="4" t="s">
        <v>568</v>
      </c>
      <c r="AD7" s="4" t="s">
        <v>569</v>
      </c>
      <c r="AE7" s="4" t="s">
        <v>570</v>
      </c>
      <c r="AF7" s="4" t="s">
        <v>571</v>
      </c>
      <c r="AG7" s="252" t="s">
        <v>572</v>
      </c>
      <c r="AH7" s="252" t="s">
        <v>573</v>
      </c>
      <c r="AI7" s="252" t="s">
        <v>574</v>
      </c>
      <c r="AJ7" s="252" t="s">
        <v>575</v>
      </c>
      <c r="AK7" s="252" t="s">
        <v>576</v>
      </c>
      <c r="AL7" s="252" t="s">
        <v>577</v>
      </c>
      <c r="AM7" s="252" t="s">
        <v>578</v>
      </c>
      <c r="AN7" s="252" t="s">
        <v>579</v>
      </c>
      <c r="AO7" s="252" t="s">
        <v>580</v>
      </c>
      <c r="AP7" s="252" t="s">
        <v>581</v>
      </c>
      <c r="AQ7" s="252" t="s">
        <v>582</v>
      </c>
      <c r="AR7" s="880"/>
      <c r="AS7" s="872" t="s">
        <v>9</v>
      </c>
      <c r="AT7" s="164"/>
    </row>
    <row r="8" spans="1:51" s="1" customFormat="1" ht="43.5" thickBot="1">
      <c r="A8" s="765" t="s">
        <v>267</v>
      </c>
      <c r="B8" s="765" t="s">
        <v>268</v>
      </c>
      <c r="C8" s="765" t="s">
        <v>320</v>
      </c>
      <c r="D8" s="765" t="s">
        <v>18</v>
      </c>
      <c r="E8" s="765">
        <v>100</v>
      </c>
      <c r="F8" s="765">
        <v>100</v>
      </c>
      <c r="G8" s="765" t="s">
        <v>269</v>
      </c>
      <c r="H8" s="765" t="s">
        <v>270</v>
      </c>
      <c r="I8" s="765" t="s">
        <v>259</v>
      </c>
      <c r="J8" s="738">
        <v>1</v>
      </c>
      <c r="K8" s="738">
        <v>1</v>
      </c>
      <c r="L8" s="136"/>
      <c r="M8" s="1103" t="s">
        <v>273</v>
      </c>
      <c r="N8" s="205" t="s">
        <v>365</v>
      </c>
      <c r="O8" s="76">
        <v>1</v>
      </c>
      <c r="P8" s="76" t="s">
        <v>17</v>
      </c>
      <c r="Q8" s="76">
        <v>1</v>
      </c>
      <c r="R8" s="76">
        <v>0</v>
      </c>
      <c r="S8" s="76">
        <v>0</v>
      </c>
      <c r="T8" s="76">
        <v>0</v>
      </c>
      <c r="U8" s="765" t="s">
        <v>354</v>
      </c>
      <c r="V8" s="1033"/>
      <c r="W8" s="1101">
        <f>137762373+331014873</f>
        <v>468777246</v>
      </c>
      <c r="X8" s="747"/>
      <c r="Y8" s="1101">
        <f>+W8+X8</f>
        <v>468777246</v>
      </c>
      <c r="Z8" s="78"/>
      <c r="AA8" s="78"/>
      <c r="AB8" s="78"/>
      <c r="AC8" s="78"/>
      <c r="AD8" s="78">
        <f>(69919112+29895215)/5</f>
        <v>19962865.399999999</v>
      </c>
      <c r="AE8" s="78">
        <v>14923578</v>
      </c>
      <c r="AF8" s="78"/>
      <c r="AG8" s="221"/>
      <c r="AH8" s="221"/>
      <c r="AI8" s="221"/>
      <c r="AJ8" s="221"/>
      <c r="AK8" s="221"/>
      <c r="AL8" s="221"/>
      <c r="AM8" s="221"/>
      <c r="AN8" s="221"/>
      <c r="AO8" s="221"/>
      <c r="AP8" s="221"/>
      <c r="AQ8" s="221"/>
      <c r="AR8" s="71" t="s">
        <v>460</v>
      </c>
      <c r="AS8" s="71" t="s">
        <v>460</v>
      </c>
      <c r="AT8" s="809" t="s">
        <v>338</v>
      </c>
    </row>
    <row r="9" spans="1:51" s="1" customFormat="1" ht="43.5" thickBot="1">
      <c r="A9" s="752"/>
      <c r="B9" s="752"/>
      <c r="C9" s="752"/>
      <c r="D9" s="752"/>
      <c r="E9" s="752"/>
      <c r="F9" s="752"/>
      <c r="G9" s="752"/>
      <c r="H9" s="752"/>
      <c r="I9" s="752"/>
      <c r="J9" s="735"/>
      <c r="K9" s="735"/>
      <c r="L9" s="137"/>
      <c r="M9" s="892"/>
      <c r="N9" s="205" t="s">
        <v>366</v>
      </c>
      <c r="O9" s="76">
        <v>1</v>
      </c>
      <c r="P9" s="76" t="s">
        <v>17</v>
      </c>
      <c r="Q9" s="76">
        <v>1</v>
      </c>
      <c r="R9" s="76">
        <v>0</v>
      </c>
      <c r="S9" s="76">
        <v>0</v>
      </c>
      <c r="T9" s="76">
        <v>0</v>
      </c>
      <c r="U9" s="752"/>
      <c r="V9" s="1034"/>
      <c r="W9" s="748"/>
      <c r="X9" s="748"/>
      <c r="Y9" s="748"/>
      <c r="Z9" s="78"/>
      <c r="AA9" s="78"/>
      <c r="AB9" s="78"/>
      <c r="AC9" s="78"/>
      <c r="AD9" s="78">
        <f t="shared" ref="AD9:AD12" si="0">(69919112+29895215)/5</f>
        <v>19962865.399999999</v>
      </c>
      <c r="AE9" s="78">
        <v>14923578</v>
      </c>
      <c r="AF9" s="78"/>
      <c r="AG9" s="221"/>
      <c r="AH9" s="221"/>
      <c r="AI9" s="221"/>
      <c r="AJ9" s="221"/>
      <c r="AK9" s="221"/>
      <c r="AL9" s="221"/>
      <c r="AM9" s="221"/>
      <c r="AN9" s="221"/>
      <c r="AO9" s="221"/>
      <c r="AP9" s="221"/>
      <c r="AQ9" s="221"/>
      <c r="AR9" s="71" t="s">
        <v>460</v>
      </c>
      <c r="AS9" s="71" t="s">
        <v>460</v>
      </c>
      <c r="AT9" s="810"/>
    </row>
    <row r="10" spans="1:51" s="1" customFormat="1" ht="43.5" thickBot="1">
      <c r="A10" s="752"/>
      <c r="B10" s="752"/>
      <c r="C10" s="752"/>
      <c r="D10" s="752"/>
      <c r="E10" s="752"/>
      <c r="F10" s="752"/>
      <c r="G10" s="752"/>
      <c r="H10" s="752"/>
      <c r="I10" s="752"/>
      <c r="J10" s="735"/>
      <c r="K10" s="735"/>
      <c r="L10" s="137"/>
      <c r="M10" s="892"/>
      <c r="N10" s="205" t="s">
        <v>367</v>
      </c>
      <c r="O10" s="76">
        <v>1</v>
      </c>
      <c r="P10" s="76" t="s">
        <v>17</v>
      </c>
      <c r="Q10" s="76">
        <v>0</v>
      </c>
      <c r="R10" s="76">
        <v>1</v>
      </c>
      <c r="S10" s="76">
        <v>0</v>
      </c>
      <c r="T10" s="76">
        <v>0</v>
      </c>
      <c r="U10" s="752"/>
      <c r="V10" s="1034"/>
      <c r="W10" s="748"/>
      <c r="X10" s="748"/>
      <c r="Y10" s="748"/>
      <c r="Z10" s="78"/>
      <c r="AA10" s="78"/>
      <c r="AB10" s="78"/>
      <c r="AC10" s="78"/>
      <c r="AD10" s="78">
        <f t="shared" si="0"/>
        <v>19962865.399999999</v>
      </c>
      <c r="AE10" s="78">
        <v>14923578</v>
      </c>
      <c r="AF10" s="78"/>
      <c r="AG10" s="221"/>
      <c r="AH10" s="221"/>
      <c r="AI10" s="221"/>
      <c r="AJ10" s="221"/>
      <c r="AK10" s="221"/>
      <c r="AL10" s="221"/>
      <c r="AM10" s="221"/>
      <c r="AN10" s="221"/>
      <c r="AO10" s="221"/>
      <c r="AP10" s="221"/>
      <c r="AQ10" s="221"/>
      <c r="AR10" s="71" t="s">
        <v>460</v>
      </c>
      <c r="AS10" s="71" t="s">
        <v>460</v>
      </c>
      <c r="AT10" s="810"/>
    </row>
    <row r="11" spans="1:51" s="1" customFormat="1" ht="43.5" thickBot="1">
      <c r="A11" s="752"/>
      <c r="B11" s="752"/>
      <c r="C11" s="752"/>
      <c r="D11" s="752"/>
      <c r="E11" s="752"/>
      <c r="F11" s="752"/>
      <c r="G11" s="752"/>
      <c r="H11" s="752"/>
      <c r="I11" s="752"/>
      <c r="J11" s="735"/>
      <c r="K11" s="735"/>
      <c r="L11" s="137"/>
      <c r="M11" s="892"/>
      <c r="N11" s="205" t="s">
        <v>450</v>
      </c>
      <c r="O11" s="76">
        <v>1</v>
      </c>
      <c r="P11" s="76" t="s">
        <v>17</v>
      </c>
      <c r="Q11" s="76">
        <v>0</v>
      </c>
      <c r="R11" s="76">
        <v>0</v>
      </c>
      <c r="S11" s="76">
        <v>1</v>
      </c>
      <c r="T11" s="76">
        <v>0</v>
      </c>
      <c r="U11" s="752"/>
      <c r="V11" s="1034"/>
      <c r="W11" s="748"/>
      <c r="X11" s="748"/>
      <c r="Y11" s="748"/>
      <c r="Z11" s="78"/>
      <c r="AA11" s="78"/>
      <c r="AB11" s="78"/>
      <c r="AC11" s="78"/>
      <c r="AD11" s="78">
        <f t="shared" si="0"/>
        <v>19962865.399999999</v>
      </c>
      <c r="AE11" s="78">
        <v>14923578</v>
      </c>
      <c r="AF11" s="78"/>
      <c r="AG11" s="221"/>
      <c r="AH11" s="221"/>
      <c r="AI11" s="221"/>
      <c r="AJ11" s="221"/>
      <c r="AK11" s="221"/>
      <c r="AL11" s="221"/>
      <c r="AM11" s="221"/>
      <c r="AN11" s="221"/>
      <c r="AO11" s="221"/>
      <c r="AP11" s="221"/>
      <c r="AQ11" s="221"/>
      <c r="AR11" s="71" t="s">
        <v>460</v>
      </c>
      <c r="AS11" s="71" t="s">
        <v>460</v>
      </c>
      <c r="AT11" s="810"/>
    </row>
    <row r="12" spans="1:51" s="1" customFormat="1" ht="57.75" thickBot="1">
      <c r="A12" s="752"/>
      <c r="B12" s="752"/>
      <c r="C12" s="752"/>
      <c r="D12" s="752"/>
      <c r="E12" s="752"/>
      <c r="F12" s="752"/>
      <c r="G12" s="752"/>
      <c r="H12" s="752"/>
      <c r="I12" s="752"/>
      <c r="J12" s="735"/>
      <c r="K12" s="735"/>
      <c r="L12" s="137"/>
      <c r="M12" s="751"/>
      <c r="N12" s="205" t="s">
        <v>451</v>
      </c>
      <c r="O12" s="76">
        <v>100</v>
      </c>
      <c r="P12" s="76" t="s">
        <v>18</v>
      </c>
      <c r="Q12" s="76">
        <v>100</v>
      </c>
      <c r="R12" s="76">
        <v>0</v>
      </c>
      <c r="S12" s="76">
        <v>0</v>
      </c>
      <c r="T12" s="76">
        <v>0</v>
      </c>
      <c r="U12" s="766"/>
      <c r="V12" s="1035"/>
      <c r="W12" s="749"/>
      <c r="X12" s="749"/>
      <c r="Y12" s="1102"/>
      <c r="Z12" s="78"/>
      <c r="AA12" s="78"/>
      <c r="AB12" s="78"/>
      <c r="AC12" s="78"/>
      <c r="AD12" s="78">
        <f t="shared" si="0"/>
        <v>19962865.399999999</v>
      </c>
      <c r="AE12" s="78">
        <v>14923578</v>
      </c>
      <c r="AF12" s="78"/>
      <c r="AG12" s="221"/>
      <c r="AH12" s="221"/>
      <c r="AI12" s="221"/>
      <c r="AJ12" s="221"/>
      <c r="AK12" s="221"/>
      <c r="AL12" s="221"/>
      <c r="AM12" s="221"/>
      <c r="AN12" s="221"/>
      <c r="AO12" s="221"/>
      <c r="AP12" s="221"/>
      <c r="AQ12" s="221"/>
      <c r="AR12" s="71" t="s">
        <v>460</v>
      </c>
      <c r="AS12" s="71" t="s">
        <v>460</v>
      </c>
      <c r="AT12" s="810"/>
    </row>
    <row r="13" spans="1:51" s="1" customFormat="1" ht="43.5" thickBot="1">
      <c r="A13" s="752"/>
      <c r="B13" s="752"/>
      <c r="C13" s="752"/>
      <c r="D13" s="752"/>
      <c r="E13" s="752"/>
      <c r="F13" s="752"/>
      <c r="G13" s="752"/>
      <c r="H13" s="752"/>
      <c r="I13" s="752"/>
      <c r="J13" s="735"/>
      <c r="K13" s="735"/>
      <c r="L13" s="137"/>
      <c r="M13" s="750" t="s">
        <v>274</v>
      </c>
      <c r="N13" s="205" t="s">
        <v>371</v>
      </c>
      <c r="O13" s="76">
        <v>1</v>
      </c>
      <c r="P13" s="76" t="s">
        <v>452</v>
      </c>
      <c r="Q13" s="76">
        <v>0</v>
      </c>
      <c r="R13" s="76">
        <v>0</v>
      </c>
      <c r="S13" s="76">
        <v>0</v>
      </c>
      <c r="T13" s="76">
        <v>1</v>
      </c>
      <c r="U13" s="765" t="s">
        <v>354</v>
      </c>
      <c r="V13" s="1100"/>
      <c r="W13" s="747">
        <v>168000000</v>
      </c>
      <c r="X13" s="747"/>
      <c r="Y13" s="1101">
        <f>W13+X13</f>
        <v>168000000</v>
      </c>
      <c r="Z13" s="78"/>
      <c r="AA13" s="78"/>
      <c r="AB13" s="78"/>
      <c r="AC13" s="78"/>
      <c r="AD13" s="78">
        <v>8400000</v>
      </c>
      <c r="AE13" s="78">
        <v>0</v>
      </c>
      <c r="AF13" s="78"/>
      <c r="AG13" s="221"/>
      <c r="AH13" s="221"/>
      <c r="AI13" s="221"/>
      <c r="AJ13" s="221"/>
      <c r="AK13" s="221"/>
      <c r="AL13" s="221"/>
      <c r="AM13" s="221"/>
      <c r="AN13" s="221"/>
      <c r="AO13" s="221"/>
      <c r="AP13" s="221"/>
      <c r="AQ13" s="221"/>
      <c r="AR13" s="71" t="s">
        <v>460</v>
      </c>
      <c r="AS13" s="71" t="s">
        <v>460</v>
      </c>
      <c r="AT13" s="810"/>
    </row>
    <row r="14" spans="1:51" s="1" customFormat="1" ht="43.5" thickBot="1">
      <c r="A14" s="752"/>
      <c r="B14" s="752"/>
      <c r="C14" s="752"/>
      <c r="D14" s="752"/>
      <c r="E14" s="752"/>
      <c r="F14" s="752"/>
      <c r="G14" s="752"/>
      <c r="H14" s="753"/>
      <c r="I14" s="753"/>
      <c r="J14" s="755"/>
      <c r="K14" s="755"/>
      <c r="L14" s="137"/>
      <c r="M14" s="751"/>
      <c r="N14" s="188" t="s">
        <v>372</v>
      </c>
      <c r="O14" s="76">
        <v>1</v>
      </c>
      <c r="P14" s="76" t="s">
        <v>452</v>
      </c>
      <c r="Q14" s="76">
        <v>0</v>
      </c>
      <c r="R14" s="76">
        <v>0</v>
      </c>
      <c r="S14" s="76">
        <v>1</v>
      </c>
      <c r="T14" s="76">
        <v>0</v>
      </c>
      <c r="U14" s="753"/>
      <c r="V14" s="1035"/>
      <c r="W14" s="749"/>
      <c r="X14" s="749"/>
      <c r="Y14" s="1102"/>
      <c r="Z14" s="78"/>
      <c r="AA14" s="78"/>
      <c r="AB14" s="78"/>
      <c r="AC14" s="78"/>
      <c r="AD14" s="78">
        <v>8400000</v>
      </c>
      <c r="AE14" s="78">
        <v>0</v>
      </c>
      <c r="AF14" s="78"/>
      <c r="AG14" s="221"/>
      <c r="AH14" s="221"/>
      <c r="AI14" s="221"/>
      <c r="AJ14" s="221"/>
      <c r="AK14" s="221"/>
      <c r="AL14" s="221"/>
      <c r="AM14" s="221"/>
      <c r="AN14" s="221"/>
      <c r="AO14" s="221"/>
      <c r="AP14" s="221"/>
      <c r="AQ14" s="221"/>
      <c r="AR14" s="71" t="s">
        <v>460</v>
      </c>
      <c r="AS14" s="71" t="s">
        <v>460</v>
      </c>
      <c r="AT14" s="810"/>
    </row>
    <row r="15" spans="1:51" s="1" customFormat="1" ht="43.5" thickBot="1">
      <c r="A15" s="752"/>
      <c r="B15" s="752"/>
      <c r="C15" s="752"/>
      <c r="D15" s="752"/>
      <c r="E15" s="752"/>
      <c r="F15" s="752"/>
      <c r="G15" s="752"/>
      <c r="H15" s="754" t="s">
        <v>271</v>
      </c>
      <c r="I15" s="754" t="s">
        <v>17</v>
      </c>
      <c r="J15" s="734" t="s">
        <v>51</v>
      </c>
      <c r="K15" s="734">
        <v>1</v>
      </c>
      <c r="L15" s="756"/>
      <c r="M15" s="734" t="s">
        <v>275</v>
      </c>
      <c r="N15" s="205" t="s">
        <v>453</v>
      </c>
      <c r="O15" s="76">
        <v>1</v>
      </c>
      <c r="P15" s="76" t="s">
        <v>17</v>
      </c>
      <c r="Q15" s="76">
        <v>0</v>
      </c>
      <c r="R15" s="76">
        <v>1</v>
      </c>
      <c r="S15" s="76">
        <v>0</v>
      </c>
      <c r="T15" s="76">
        <v>0</v>
      </c>
      <c r="U15" s="754"/>
      <c r="V15" s="1100"/>
      <c r="W15" s="747"/>
      <c r="X15" s="220"/>
      <c r="Y15" s="1101">
        <f>W18</f>
        <v>0</v>
      </c>
      <c r="Z15" s="78"/>
      <c r="AA15" s="78"/>
      <c r="AB15" s="78"/>
      <c r="AC15" s="78"/>
      <c r="AD15" s="78"/>
      <c r="AE15" s="78"/>
      <c r="AF15" s="78"/>
      <c r="AG15" s="221"/>
      <c r="AH15" s="221"/>
      <c r="AI15" s="221"/>
      <c r="AJ15" s="221"/>
      <c r="AK15" s="221"/>
      <c r="AL15" s="221"/>
      <c r="AM15" s="221"/>
      <c r="AN15" s="221"/>
      <c r="AO15" s="221"/>
      <c r="AP15" s="221"/>
      <c r="AQ15" s="221"/>
      <c r="AR15" s="71" t="s">
        <v>460</v>
      </c>
      <c r="AS15" s="71" t="s">
        <v>460</v>
      </c>
      <c r="AT15" s="810"/>
    </row>
    <row r="16" spans="1:51" s="1" customFormat="1" ht="43.5" thickBot="1">
      <c r="A16" s="752"/>
      <c r="B16" s="752"/>
      <c r="C16" s="752"/>
      <c r="D16" s="752"/>
      <c r="E16" s="752"/>
      <c r="F16" s="752"/>
      <c r="G16" s="752"/>
      <c r="H16" s="752"/>
      <c r="I16" s="752"/>
      <c r="J16" s="735"/>
      <c r="K16" s="735"/>
      <c r="L16" s="757"/>
      <c r="M16" s="735"/>
      <c r="N16" s="205" t="s">
        <v>368</v>
      </c>
      <c r="O16" s="76">
        <v>1</v>
      </c>
      <c r="P16" s="76" t="s">
        <v>17</v>
      </c>
      <c r="Q16" s="76">
        <v>0</v>
      </c>
      <c r="R16" s="76">
        <v>1</v>
      </c>
      <c r="S16" s="76">
        <v>0</v>
      </c>
      <c r="T16" s="76">
        <v>0</v>
      </c>
      <c r="U16" s="752"/>
      <c r="V16" s="1034"/>
      <c r="W16" s="748"/>
      <c r="X16" s="220"/>
      <c r="Y16" s="748"/>
      <c r="Z16" s="78"/>
      <c r="AA16" s="78"/>
      <c r="AB16" s="78"/>
      <c r="AC16" s="78"/>
      <c r="AD16" s="78"/>
      <c r="AE16" s="78"/>
      <c r="AF16" s="78"/>
      <c r="AG16" s="221"/>
      <c r="AH16" s="221"/>
      <c r="AI16" s="221"/>
      <c r="AJ16" s="221"/>
      <c r="AK16" s="221"/>
      <c r="AL16" s="221"/>
      <c r="AM16" s="221"/>
      <c r="AN16" s="221"/>
      <c r="AO16" s="221"/>
      <c r="AP16" s="221"/>
      <c r="AQ16" s="221"/>
      <c r="AR16" s="71" t="s">
        <v>460</v>
      </c>
      <c r="AS16" s="71" t="s">
        <v>460</v>
      </c>
      <c r="AT16" s="810"/>
    </row>
    <row r="17" spans="1:46" s="1" customFormat="1" ht="43.5" thickBot="1">
      <c r="A17" s="752"/>
      <c r="B17" s="752"/>
      <c r="C17" s="752"/>
      <c r="D17" s="752"/>
      <c r="E17" s="752"/>
      <c r="F17" s="752"/>
      <c r="G17" s="752"/>
      <c r="H17" s="752"/>
      <c r="I17" s="752"/>
      <c r="J17" s="735"/>
      <c r="K17" s="735"/>
      <c r="L17" s="757"/>
      <c r="M17" s="735"/>
      <c r="N17" s="205" t="s">
        <v>369</v>
      </c>
      <c r="O17" s="76">
        <v>2</v>
      </c>
      <c r="P17" s="76" t="s">
        <v>17</v>
      </c>
      <c r="Q17" s="76">
        <v>0</v>
      </c>
      <c r="R17" s="76">
        <v>1</v>
      </c>
      <c r="S17" s="76">
        <v>1</v>
      </c>
      <c r="T17" s="76">
        <v>0</v>
      </c>
      <c r="U17" s="752"/>
      <c r="V17" s="1034"/>
      <c r="W17" s="748"/>
      <c r="X17" s="220"/>
      <c r="Y17" s="748"/>
      <c r="Z17" s="78"/>
      <c r="AA17" s="78"/>
      <c r="AB17" s="78"/>
      <c r="AC17" s="78"/>
      <c r="AD17" s="78"/>
      <c r="AE17" s="78"/>
      <c r="AF17" s="78"/>
      <c r="AG17" s="221"/>
      <c r="AH17" s="221"/>
      <c r="AI17" s="221"/>
      <c r="AJ17" s="221"/>
      <c r="AK17" s="221"/>
      <c r="AL17" s="221"/>
      <c r="AM17" s="221"/>
      <c r="AN17" s="221"/>
      <c r="AO17" s="221"/>
      <c r="AP17" s="221"/>
      <c r="AQ17" s="221"/>
      <c r="AR17" s="71" t="s">
        <v>460</v>
      </c>
      <c r="AS17" s="71" t="s">
        <v>460</v>
      </c>
      <c r="AT17" s="810"/>
    </row>
    <row r="18" spans="1:46" s="1" customFormat="1" ht="52.5" customHeight="1" thickBot="1">
      <c r="A18" s="752"/>
      <c r="B18" s="752"/>
      <c r="C18" s="752"/>
      <c r="D18" s="752"/>
      <c r="E18" s="752"/>
      <c r="F18" s="752"/>
      <c r="G18" s="752"/>
      <c r="H18" s="753"/>
      <c r="I18" s="753"/>
      <c r="J18" s="755"/>
      <c r="K18" s="755"/>
      <c r="L18" s="1105"/>
      <c r="M18" s="755"/>
      <c r="N18" s="205" t="s">
        <v>370</v>
      </c>
      <c r="O18" s="76">
        <v>1</v>
      </c>
      <c r="P18" s="76" t="s">
        <v>17</v>
      </c>
      <c r="Q18" s="76">
        <v>0</v>
      </c>
      <c r="R18" s="76">
        <v>0</v>
      </c>
      <c r="S18" s="76">
        <v>0</v>
      </c>
      <c r="T18" s="76">
        <v>1</v>
      </c>
      <c r="U18" s="753"/>
      <c r="V18" s="1035"/>
      <c r="W18" s="749"/>
      <c r="X18" s="220"/>
      <c r="Y18" s="1102"/>
      <c r="Z18" s="78"/>
      <c r="AA18" s="78"/>
      <c r="AB18" s="78"/>
      <c r="AC18" s="78"/>
      <c r="AD18" s="78"/>
      <c r="AE18" s="78"/>
      <c r="AF18" s="78"/>
      <c r="AG18" s="221"/>
      <c r="AH18" s="221"/>
      <c r="AI18" s="221"/>
      <c r="AJ18" s="221"/>
      <c r="AK18" s="221"/>
      <c r="AL18" s="221"/>
      <c r="AM18" s="221"/>
      <c r="AN18" s="221"/>
      <c r="AO18" s="221"/>
      <c r="AP18" s="221"/>
      <c r="AQ18" s="221"/>
      <c r="AR18" s="71" t="s">
        <v>460</v>
      </c>
      <c r="AS18" s="71" t="s">
        <v>460</v>
      </c>
      <c r="AT18" s="810"/>
    </row>
    <row r="19" spans="1:46" s="1" customFormat="1" ht="43.5" thickBot="1">
      <c r="A19" s="752"/>
      <c r="B19" s="752"/>
      <c r="C19" s="752"/>
      <c r="D19" s="752"/>
      <c r="E19" s="752"/>
      <c r="F19" s="752"/>
      <c r="G19" s="752"/>
      <c r="H19" s="754" t="s">
        <v>272</v>
      </c>
      <c r="I19" s="754" t="s">
        <v>18</v>
      </c>
      <c r="J19" s="734">
        <v>100</v>
      </c>
      <c r="K19" s="734">
        <v>100</v>
      </c>
      <c r="L19" s="736"/>
      <c r="M19" s="754" t="s">
        <v>454</v>
      </c>
      <c r="N19" s="205" t="s">
        <v>373</v>
      </c>
      <c r="O19" s="76">
        <v>2</v>
      </c>
      <c r="P19" s="76" t="s">
        <v>17</v>
      </c>
      <c r="Q19" s="76">
        <v>1</v>
      </c>
      <c r="R19" s="76">
        <v>0</v>
      </c>
      <c r="S19" s="76">
        <v>1</v>
      </c>
      <c r="T19" s="76">
        <v>0</v>
      </c>
      <c r="U19" s="754"/>
      <c r="V19" s="1100"/>
      <c r="W19" s="747"/>
      <c r="X19" s="220"/>
      <c r="Y19" s="1101">
        <f>W23</f>
        <v>0</v>
      </c>
      <c r="Z19" s="78"/>
      <c r="AA19" s="78"/>
      <c r="AB19" s="78"/>
      <c r="AC19" s="78"/>
      <c r="AD19" s="78"/>
      <c r="AE19" s="78"/>
      <c r="AF19" s="78"/>
      <c r="AG19" s="221"/>
      <c r="AH19" s="221"/>
      <c r="AI19" s="221"/>
      <c r="AJ19" s="221"/>
      <c r="AK19" s="221"/>
      <c r="AL19" s="221"/>
      <c r="AM19" s="221"/>
      <c r="AN19" s="221"/>
      <c r="AO19" s="221"/>
      <c r="AP19" s="221"/>
      <c r="AQ19" s="221"/>
      <c r="AR19" s="71" t="s">
        <v>460</v>
      </c>
      <c r="AS19" s="71" t="s">
        <v>460</v>
      </c>
      <c r="AT19" s="810"/>
    </row>
    <row r="20" spans="1:46" s="1" customFormat="1" ht="52.5" customHeight="1" thickBot="1">
      <c r="A20" s="752"/>
      <c r="B20" s="752"/>
      <c r="C20" s="752"/>
      <c r="D20" s="752"/>
      <c r="E20" s="752"/>
      <c r="F20" s="752"/>
      <c r="G20" s="752"/>
      <c r="H20" s="752"/>
      <c r="I20" s="752"/>
      <c r="J20" s="735"/>
      <c r="K20" s="735"/>
      <c r="L20" s="736"/>
      <c r="M20" s="752"/>
      <c r="N20" s="205" t="s">
        <v>374</v>
      </c>
      <c r="O20" s="76">
        <v>2</v>
      </c>
      <c r="P20" s="76" t="s">
        <v>17</v>
      </c>
      <c r="Q20" s="76">
        <v>1</v>
      </c>
      <c r="R20" s="76">
        <v>0</v>
      </c>
      <c r="S20" s="76">
        <v>1</v>
      </c>
      <c r="T20" s="76">
        <v>0</v>
      </c>
      <c r="U20" s="752"/>
      <c r="V20" s="1034"/>
      <c r="W20" s="748"/>
      <c r="X20" s="220"/>
      <c r="Y20" s="748"/>
      <c r="Z20" s="78"/>
      <c r="AA20" s="78"/>
      <c r="AB20" s="78"/>
      <c r="AC20" s="78"/>
      <c r="AD20" s="78"/>
      <c r="AE20" s="78"/>
      <c r="AF20" s="78"/>
      <c r="AG20" s="221"/>
      <c r="AH20" s="221"/>
      <c r="AI20" s="221"/>
      <c r="AJ20" s="221"/>
      <c r="AK20" s="221"/>
      <c r="AL20" s="221"/>
      <c r="AM20" s="221"/>
      <c r="AN20" s="221"/>
      <c r="AO20" s="221"/>
      <c r="AP20" s="221"/>
      <c r="AQ20" s="221"/>
      <c r="AR20" s="71" t="s">
        <v>460</v>
      </c>
      <c r="AS20" s="71" t="s">
        <v>460</v>
      </c>
      <c r="AT20" s="810"/>
    </row>
    <row r="21" spans="1:46" s="1" customFormat="1" ht="52.5" customHeight="1" thickBot="1">
      <c r="A21" s="752"/>
      <c r="B21" s="752"/>
      <c r="C21" s="752"/>
      <c r="D21" s="752"/>
      <c r="E21" s="752"/>
      <c r="F21" s="752"/>
      <c r="G21" s="752"/>
      <c r="H21" s="752"/>
      <c r="I21" s="752"/>
      <c r="J21" s="735"/>
      <c r="K21" s="735"/>
      <c r="L21" s="736"/>
      <c r="M21" s="752"/>
      <c r="N21" s="205" t="s">
        <v>376</v>
      </c>
      <c r="O21" s="76">
        <v>1</v>
      </c>
      <c r="P21" s="76" t="s">
        <v>17</v>
      </c>
      <c r="Q21" s="76">
        <v>0</v>
      </c>
      <c r="R21" s="76">
        <v>1</v>
      </c>
      <c r="S21" s="76">
        <v>0</v>
      </c>
      <c r="T21" s="76">
        <v>0</v>
      </c>
      <c r="U21" s="752"/>
      <c r="V21" s="1034"/>
      <c r="W21" s="748"/>
      <c r="X21" s="220"/>
      <c r="Y21" s="748"/>
      <c r="Z21" s="78"/>
      <c r="AA21" s="78"/>
      <c r="AB21" s="78"/>
      <c r="AC21" s="78"/>
      <c r="AD21" s="78"/>
      <c r="AE21" s="78"/>
      <c r="AF21" s="78"/>
      <c r="AG21" s="221"/>
      <c r="AH21" s="221"/>
      <c r="AI21" s="221"/>
      <c r="AJ21" s="221"/>
      <c r="AK21" s="221"/>
      <c r="AL21" s="221"/>
      <c r="AM21" s="221"/>
      <c r="AN21" s="221"/>
      <c r="AO21" s="221"/>
      <c r="AP21" s="221"/>
      <c r="AQ21" s="221"/>
      <c r="AR21" s="71" t="s">
        <v>460</v>
      </c>
      <c r="AS21" s="71" t="s">
        <v>460</v>
      </c>
      <c r="AT21" s="810"/>
    </row>
    <row r="22" spans="1:46" s="1" customFormat="1" ht="52.5" customHeight="1" thickBot="1">
      <c r="A22" s="752"/>
      <c r="B22" s="752"/>
      <c r="C22" s="752"/>
      <c r="D22" s="752"/>
      <c r="E22" s="752"/>
      <c r="F22" s="752"/>
      <c r="G22" s="752"/>
      <c r="H22" s="752"/>
      <c r="I22" s="752"/>
      <c r="J22" s="735"/>
      <c r="K22" s="735"/>
      <c r="L22" s="736"/>
      <c r="M22" s="752"/>
      <c r="N22" s="205" t="s">
        <v>375</v>
      </c>
      <c r="O22" s="76">
        <v>2</v>
      </c>
      <c r="P22" s="76" t="s">
        <v>17</v>
      </c>
      <c r="Q22" s="76">
        <v>0</v>
      </c>
      <c r="R22" s="76">
        <v>1</v>
      </c>
      <c r="S22" s="76">
        <v>0</v>
      </c>
      <c r="T22" s="76">
        <v>1</v>
      </c>
      <c r="U22" s="752"/>
      <c r="V22" s="1034"/>
      <c r="W22" s="748"/>
      <c r="X22" s="220"/>
      <c r="Y22" s="748"/>
      <c r="Z22" s="78"/>
      <c r="AA22" s="78"/>
      <c r="AB22" s="78"/>
      <c r="AC22" s="78"/>
      <c r="AD22" s="78"/>
      <c r="AE22" s="78"/>
      <c r="AF22" s="78"/>
      <c r="AG22" s="221"/>
      <c r="AH22" s="221"/>
      <c r="AI22" s="221"/>
      <c r="AJ22" s="221"/>
      <c r="AK22" s="221"/>
      <c r="AL22" s="221"/>
      <c r="AM22" s="221"/>
      <c r="AN22" s="221"/>
      <c r="AO22" s="221"/>
      <c r="AP22" s="221"/>
      <c r="AQ22" s="221"/>
      <c r="AR22" s="71" t="s">
        <v>460</v>
      </c>
      <c r="AS22" s="71" t="s">
        <v>460</v>
      </c>
      <c r="AT22" s="810"/>
    </row>
    <row r="23" spans="1:46" s="1" customFormat="1" ht="72" thickBot="1">
      <c r="A23" s="752"/>
      <c r="B23" s="752"/>
      <c r="C23" s="752"/>
      <c r="D23" s="752"/>
      <c r="E23" s="752"/>
      <c r="F23" s="752"/>
      <c r="G23" s="752"/>
      <c r="H23" s="752"/>
      <c r="I23" s="752"/>
      <c r="J23" s="735"/>
      <c r="K23" s="735"/>
      <c r="L23" s="736"/>
      <c r="M23" s="766"/>
      <c r="N23" s="205" t="s">
        <v>456</v>
      </c>
      <c r="O23" s="76">
        <v>1</v>
      </c>
      <c r="P23" s="76" t="s">
        <v>17</v>
      </c>
      <c r="Q23" s="76">
        <v>0</v>
      </c>
      <c r="R23" s="76">
        <v>0</v>
      </c>
      <c r="S23" s="76">
        <v>0</v>
      </c>
      <c r="T23" s="76">
        <v>1</v>
      </c>
      <c r="U23" s="753"/>
      <c r="V23" s="1035"/>
      <c r="W23" s="749"/>
      <c r="X23" s="220"/>
      <c r="Y23" s="1102"/>
      <c r="Z23" s="78"/>
      <c r="AA23" s="78"/>
      <c r="AB23" s="78"/>
      <c r="AC23" s="78"/>
      <c r="AD23" s="78"/>
      <c r="AE23" s="78"/>
      <c r="AF23" s="78"/>
      <c r="AG23" s="221"/>
      <c r="AH23" s="221"/>
      <c r="AI23" s="221"/>
      <c r="AJ23" s="221"/>
      <c r="AK23" s="221"/>
      <c r="AL23" s="221"/>
      <c r="AM23" s="221"/>
      <c r="AN23" s="221"/>
      <c r="AO23" s="221"/>
      <c r="AP23" s="221"/>
      <c r="AQ23" s="221"/>
      <c r="AR23" s="71" t="s">
        <v>460</v>
      </c>
      <c r="AS23" s="71" t="s">
        <v>460</v>
      </c>
      <c r="AT23" s="810"/>
    </row>
    <row r="24" spans="1:46" s="1" customFormat="1" ht="43.5" thickBot="1">
      <c r="A24" s="752"/>
      <c r="B24" s="752"/>
      <c r="C24" s="752"/>
      <c r="D24" s="752"/>
      <c r="E24" s="752"/>
      <c r="F24" s="752"/>
      <c r="G24" s="752"/>
      <c r="H24" s="752"/>
      <c r="I24" s="752"/>
      <c r="J24" s="735"/>
      <c r="K24" s="735"/>
      <c r="L24" s="181"/>
      <c r="M24" s="765" t="s">
        <v>455</v>
      </c>
      <c r="N24" s="205" t="s">
        <v>457</v>
      </c>
      <c r="O24" s="76">
        <v>2</v>
      </c>
      <c r="P24" s="76" t="s">
        <v>17</v>
      </c>
      <c r="Q24" s="76">
        <v>0</v>
      </c>
      <c r="R24" s="76">
        <v>1</v>
      </c>
      <c r="S24" s="76">
        <v>0</v>
      </c>
      <c r="T24" s="76">
        <v>1</v>
      </c>
      <c r="U24" s="754"/>
      <c r="V24" s="1100"/>
      <c r="W24" s="747"/>
      <c r="X24" s="220"/>
      <c r="Y24" s="1101">
        <f>W26</f>
        <v>0</v>
      </c>
      <c r="Z24" s="78"/>
      <c r="AA24" s="78"/>
      <c r="AB24" s="78"/>
      <c r="AC24" s="78"/>
      <c r="AD24" s="78"/>
      <c r="AE24" s="78"/>
      <c r="AF24" s="78"/>
      <c r="AG24" s="221"/>
      <c r="AH24" s="221"/>
      <c r="AI24" s="221"/>
      <c r="AJ24" s="221"/>
      <c r="AK24" s="221"/>
      <c r="AL24" s="221"/>
      <c r="AM24" s="221"/>
      <c r="AN24" s="221"/>
      <c r="AO24" s="221"/>
      <c r="AP24" s="221"/>
      <c r="AQ24" s="221"/>
      <c r="AR24" s="71" t="s">
        <v>460</v>
      </c>
      <c r="AS24" s="71" t="s">
        <v>460</v>
      </c>
      <c r="AT24" s="810"/>
    </row>
    <row r="25" spans="1:46" s="1" customFormat="1" ht="43.5" thickBot="1">
      <c r="A25" s="752"/>
      <c r="B25" s="752"/>
      <c r="C25" s="752"/>
      <c r="D25" s="752"/>
      <c r="E25" s="752"/>
      <c r="F25" s="752"/>
      <c r="G25" s="752"/>
      <c r="H25" s="752"/>
      <c r="I25" s="752"/>
      <c r="J25" s="735"/>
      <c r="K25" s="735"/>
      <c r="L25" s="181"/>
      <c r="M25" s="752"/>
      <c r="N25" s="205" t="s">
        <v>458</v>
      </c>
      <c r="O25" s="76">
        <v>2</v>
      </c>
      <c r="P25" s="76" t="s">
        <v>452</v>
      </c>
      <c r="Q25" s="76">
        <v>0</v>
      </c>
      <c r="R25" s="76">
        <v>1</v>
      </c>
      <c r="S25" s="76">
        <v>0</v>
      </c>
      <c r="T25" s="76">
        <v>1</v>
      </c>
      <c r="U25" s="752"/>
      <c r="V25" s="1034"/>
      <c r="W25" s="748"/>
      <c r="X25" s="220"/>
      <c r="Y25" s="748"/>
      <c r="Z25" s="78"/>
      <c r="AA25" s="78"/>
      <c r="AB25" s="78"/>
      <c r="AC25" s="78"/>
      <c r="AD25" s="78"/>
      <c r="AE25" s="78"/>
      <c r="AF25" s="78"/>
      <c r="AG25" s="221"/>
      <c r="AH25" s="221"/>
      <c r="AI25" s="221"/>
      <c r="AJ25" s="221"/>
      <c r="AK25" s="221"/>
      <c r="AL25" s="221"/>
      <c r="AM25" s="221"/>
      <c r="AN25" s="221"/>
      <c r="AO25" s="221"/>
      <c r="AP25" s="221"/>
      <c r="AQ25" s="221"/>
      <c r="AR25" s="71" t="s">
        <v>460</v>
      </c>
      <c r="AS25" s="71" t="s">
        <v>460</v>
      </c>
      <c r="AT25" s="810"/>
    </row>
    <row r="26" spans="1:46" s="1" customFormat="1" ht="42.75">
      <c r="A26" s="752"/>
      <c r="B26" s="752"/>
      <c r="C26" s="752"/>
      <c r="D26" s="752"/>
      <c r="E26" s="752"/>
      <c r="F26" s="752"/>
      <c r="G26" s="752"/>
      <c r="H26" s="752"/>
      <c r="I26" s="752"/>
      <c r="J26" s="735"/>
      <c r="K26" s="735"/>
      <c r="L26" s="300"/>
      <c r="M26" s="752"/>
      <c r="N26" s="209" t="s">
        <v>459</v>
      </c>
      <c r="O26" s="194">
        <v>100</v>
      </c>
      <c r="P26" s="194" t="s">
        <v>18</v>
      </c>
      <c r="Q26" s="194">
        <v>0</v>
      </c>
      <c r="R26" s="194">
        <v>50</v>
      </c>
      <c r="S26" s="194">
        <v>0</v>
      </c>
      <c r="T26" s="194">
        <v>50</v>
      </c>
      <c r="U26" s="752"/>
      <c r="V26" s="1034"/>
      <c r="W26" s="748"/>
      <c r="X26" s="220"/>
      <c r="Y26" s="748"/>
      <c r="Z26" s="219"/>
      <c r="AA26" s="219"/>
      <c r="AB26" s="219"/>
      <c r="AC26" s="219"/>
      <c r="AD26" s="219"/>
      <c r="AE26" s="219"/>
      <c r="AF26" s="219"/>
      <c r="AG26" s="220"/>
      <c r="AH26" s="220"/>
      <c r="AI26" s="220"/>
      <c r="AJ26" s="220"/>
      <c r="AK26" s="220"/>
      <c r="AL26" s="220"/>
      <c r="AM26" s="220"/>
      <c r="AN26" s="220"/>
      <c r="AO26" s="220"/>
      <c r="AP26" s="220"/>
      <c r="AQ26" s="220"/>
      <c r="AR26" s="216" t="s">
        <v>460</v>
      </c>
      <c r="AS26" s="216" t="s">
        <v>460</v>
      </c>
      <c r="AT26" s="811"/>
    </row>
    <row r="27" spans="1:46" s="1" customFormat="1" ht="15" customHeight="1">
      <c r="A27" s="1104" t="s">
        <v>607</v>
      </c>
      <c r="B27" s="1104"/>
      <c r="C27" s="1104"/>
      <c r="D27" s="1104"/>
      <c r="E27" s="1104"/>
      <c r="F27" s="1104"/>
      <c r="G27" s="1104"/>
      <c r="H27" s="1104"/>
      <c r="I27" s="1104"/>
      <c r="J27" s="1104"/>
      <c r="K27" s="1104"/>
      <c r="L27" s="1104"/>
      <c r="M27" s="1104"/>
      <c r="N27" s="1104"/>
      <c r="O27" s="239">
        <f>O25+O24+O23+O22+O21+O20+O19+O18+O17+O16+O15+O14+O13+O11+O10+O9+O8</f>
        <v>23</v>
      </c>
      <c r="P27" s="239" t="s">
        <v>599</v>
      </c>
      <c r="Q27" s="239">
        <f t="shared" ref="Q27:T27" si="1">Q25+Q24+Q23+Q22+Q21+Q20+Q19+Q18+Q17+Q16+Q15+Q14+Q13+Q11+Q10+Q9+Q8</f>
        <v>4</v>
      </c>
      <c r="R27" s="239">
        <f t="shared" si="1"/>
        <v>8</v>
      </c>
      <c r="S27" s="239">
        <f t="shared" si="1"/>
        <v>5</v>
      </c>
      <c r="T27" s="239">
        <f t="shared" si="1"/>
        <v>6</v>
      </c>
      <c r="U27" s="239"/>
      <c r="V27" s="239"/>
      <c r="W27" s="1068">
        <f>W24+W19+W15+W13+W8</f>
        <v>636777246</v>
      </c>
      <c r="X27" s="373"/>
      <c r="Y27" s="1068">
        <f>Y24+Y19+Y15+Y13+Y8</f>
        <v>636777246</v>
      </c>
      <c r="Z27" s="366">
        <f>Z25+Z24+Z23+Z22+Z21+Z20+Z19+Z18+Z17+Z16+Z15+Z14+Z13+Z11+Z10+Z9+Z8+Z12</f>
        <v>0</v>
      </c>
      <c r="AA27" s="239">
        <f t="shared" ref="AA27:AC27" si="2">AA25+AA24+AA23+AA22+AA21+AA20+AA19+AA18+AA17+AA16+AA15+AA14+AA13+AA11+AA10+AA9+AA8</f>
        <v>0</v>
      </c>
      <c r="AB27" s="239">
        <f t="shared" si="2"/>
        <v>0</v>
      </c>
      <c r="AC27" s="239">
        <f t="shared" si="2"/>
        <v>0</v>
      </c>
      <c r="AD27" s="1068">
        <f>AD26+AD25+AD24+AD23+AD22+AD21+AD20+AD19+AD18+AD17+AD16+AD15+AD14+AD13+AD12+AD11+AD10+AD9+AD8</f>
        <v>116614327</v>
      </c>
      <c r="AE27" s="1068">
        <f t="shared" ref="AE27:AI27" si="3">AE24+AE19+AE15+AE13+AE8</f>
        <v>14923578</v>
      </c>
      <c r="AF27" s="1068">
        <f t="shared" si="3"/>
        <v>0</v>
      </c>
      <c r="AG27" s="1068">
        <f t="shared" si="3"/>
        <v>0</v>
      </c>
      <c r="AH27" s="1068">
        <f t="shared" si="3"/>
        <v>0</v>
      </c>
      <c r="AI27" s="1068">
        <f t="shared" si="3"/>
        <v>0</v>
      </c>
      <c r="AJ27" s="244"/>
      <c r="AK27" s="244"/>
      <c r="AL27" s="244"/>
      <c r="AM27" s="244"/>
      <c r="AN27" s="244"/>
      <c r="AO27" s="244"/>
      <c r="AP27" s="244"/>
      <c r="AQ27" s="244"/>
      <c r="AR27" s="239"/>
      <c r="AS27" s="239"/>
    </row>
    <row r="28" spans="1:46" s="1" customFormat="1">
      <c r="A28" s="1104"/>
      <c r="B28" s="1104"/>
      <c r="C28" s="1104"/>
      <c r="D28" s="1104"/>
      <c r="E28" s="1104"/>
      <c r="F28" s="1104"/>
      <c r="G28" s="1104"/>
      <c r="H28" s="1104"/>
      <c r="I28" s="1104"/>
      <c r="J28" s="1104"/>
      <c r="K28" s="1104"/>
      <c r="L28" s="1104"/>
      <c r="M28" s="1104"/>
      <c r="N28" s="1104"/>
      <c r="O28" s="239">
        <f>O12</f>
        <v>100</v>
      </c>
      <c r="P28" s="239" t="s">
        <v>18</v>
      </c>
      <c r="Q28" s="239">
        <f>Q12</f>
        <v>100</v>
      </c>
      <c r="R28" s="239">
        <v>50</v>
      </c>
      <c r="S28" s="239">
        <f t="shared" ref="S28" si="4">S12</f>
        <v>0</v>
      </c>
      <c r="T28" s="239">
        <v>50</v>
      </c>
      <c r="U28" s="239"/>
      <c r="V28" s="239"/>
      <c r="W28" s="1069"/>
      <c r="X28" s="295"/>
      <c r="Y28" s="1069"/>
      <c r="Z28" s="239">
        <f>Z12+AVERAGE(Z26+Z12)</f>
        <v>0</v>
      </c>
      <c r="AA28" s="239">
        <f t="shared" ref="AA28:AC28" si="5">AA12+AVERAGE(AA26+AA12)</f>
        <v>0</v>
      </c>
      <c r="AB28" s="239">
        <f t="shared" si="5"/>
        <v>0</v>
      </c>
      <c r="AC28" s="239">
        <f t="shared" si="5"/>
        <v>0</v>
      </c>
      <c r="AD28" s="1069"/>
      <c r="AE28" s="1069"/>
      <c r="AF28" s="1069"/>
      <c r="AG28" s="1069"/>
      <c r="AH28" s="1069"/>
      <c r="AI28" s="1069"/>
      <c r="AJ28" s="244"/>
      <c r="AK28" s="244"/>
      <c r="AL28" s="244"/>
      <c r="AM28" s="244"/>
      <c r="AN28" s="244"/>
      <c r="AO28" s="244"/>
      <c r="AP28" s="244"/>
      <c r="AQ28" s="244"/>
      <c r="AR28" s="239"/>
      <c r="AS28" s="239"/>
    </row>
    <row r="29" spans="1:46" s="1" customFormat="1">
      <c r="A29" s="3"/>
      <c r="B29" s="3"/>
      <c r="C29" s="3"/>
      <c r="D29" s="3"/>
      <c r="E29" s="3"/>
      <c r="F29" s="3"/>
      <c r="G29" s="3"/>
      <c r="H29" s="3"/>
      <c r="I29" s="3"/>
      <c r="N29" s="5"/>
      <c r="O29" s="3"/>
      <c r="P29" s="3"/>
      <c r="Q29" s="3"/>
      <c r="R29" s="3"/>
      <c r="S29" s="3"/>
      <c r="T29" s="3"/>
      <c r="U29" s="13" t="e">
        <f>#REF!-#REF!</f>
        <v>#REF!</v>
      </c>
      <c r="V29" s="3"/>
      <c r="W29" s="7"/>
      <c r="X29" s="7"/>
      <c r="Y29" s="7"/>
      <c r="Z29" s="7"/>
      <c r="AA29" s="7"/>
      <c r="AB29" s="7"/>
      <c r="AC29" s="7"/>
      <c r="AD29" s="7"/>
      <c r="AE29" s="7"/>
      <c r="AF29" s="7"/>
      <c r="AG29" s="7"/>
      <c r="AH29" s="7"/>
      <c r="AI29" s="7"/>
      <c r="AJ29" s="7"/>
      <c r="AK29" s="7"/>
      <c r="AL29" s="7"/>
      <c r="AM29" s="7"/>
      <c r="AN29" s="7"/>
      <c r="AO29" s="7"/>
      <c r="AP29" s="7"/>
      <c r="AQ29" s="7"/>
      <c r="AR29" s="3"/>
      <c r="AS29" s="3"/>
    </row>
    <row r="30" spans="1:46" s="1" customFormat="1">
      <c r="A30" s="3"/>
      <c r="B30" s="3"/>
      <c r="C30" s="3"/>
      <c r="D30" s="3"/>
      <c r="E30" s="3"/>
      <c r="F30" s="3"/>
      <c r="G30" s="3"/>
      <c r="H30" s="3"/>
      <c r="I30" s="3"/>
      <c r="N30" s="5"/>
      <c r="O30" s="3"/>
      <c r="P30" s="3"/>
      <c r="Q30" s="3"/>
      <c r="R30" s="3"/>
      <c r="S30" s="3"/>
      <c r="T30" s="3"/>
      <c r="U30" s="3"/>
      <c r="V30" s="14" t="e">
        <f>Y31-#REF!</f>
        <v>#REF!</v>
      </c>
      <c r="W30" s="7"/>
      <c r="X30" s="7"/>
      <c r="Y30" s="7"/>
      <c r="Z30" s="7"/>
      <c r="AA30" s="7"/>
      <c r="AB30" s="7"/>
      <c r="AC30" s="7"/>
      <c r="AD30" s="7"/>
      <c r="AE30" s="7"/>
      <c r="AF30" s="7"/>
      <c r="AG30" s="7"/>
      <c r="AH30" s="7"/>
      <c r="AI30" s="7"/>
      <c r="AJ30" s="7"/>
      <c r="AK30" s="7"/>
      <c r="AL30" s="7"/>
      <c r="AM30" s="7"/>
      <c r="AN30" s="7"/>
      <c r="AO30" s="7"/>
      <c r="AP30" s="7"/>
      <c r="AQ30" s="7"/>
      <c r="AR30" s="3"/>
      <c r="AS30" s="3"/>
    </row>
    <row r="31" spans="1:46" s="1" customFormat="1" ht="23.25">
      <c r="A31" s="987" t="s">
        <v>601</v>
      </c>
      <c r="B31" s="987"/>
      <c r="C31" s="987"/>
      <c r="D31" s="987"/>
      <c r="E31" s="987"/>
      <c r="F31" s="987"/>
      <c r="G31" s="987"/>
      <c r="H31" s="987"/>
      <c r="I31" s="987"/>
      <c r="J31" s="987"/>
      <c r="K31" s="987"/>
      <c r="L31" s="987"/>
      <c r="M31" s="987"/>
      <c r="N31" s="987"/>
      <c r="O31" s="987"/>
      <c r="P31" s="3"/>
      <c r="Q31" s="3"/>
      <c r="R31" s="3"/>
      <c r="S31" s="3"/>
      <c r="T31" s="3"/>
      <c r="U31" s="3"/>
      <c r="V31" s="3"/>
      <c r="W31" s="7"/>
      <c r="X31" s="7"/>
      <c r="Y31" s="12">
        <v>90692582257</v>
      </c>
      <c r="Z31" s="245"/>
      <c r="AA31" s="245"/>
      <c r="AB31" s="245"/>
      <c r="AC31" s="245"/>
      <c r="AD31" s="245"/>
      <c r="AE31" s="245"/>
      <c r="AF31" s="245"/>
      <c r="AG31" s="245"/>
      <c r="AH31" s="245"/>
      <c r="AI31" s="245"/>
      <c r="AJ31" s="245"/>
      <c r="AK31" s="245"/>
      <c r="AL31" s="245"/>
      <c r="AM31" s="245"/>
      <c r="AN31" s="245"/>
      <c r="AO31" s="245"/>
      <c r="AP31" s="245"/>
      <c r="AQ31" s="245"/>
      <c r="AR31" s="13" t="e">
        <f>Y31-#REF!</f>
        <v>#REF!</v>
      </c>
      <c r="AS31" s="3"/>
    </row>
    <row r="32" spans="1:46" s="1" customFormat="1" ht="60">
      <c r="A32" s="269" t="s">
        <v>598</v>
      </c>
      <c r="B32" s="270" t="s">
        <v>587</v>
      </c>
      <c r="C32" s="270" t="s">
        <v>588</v>
      </c>
      <c r="D32" s="270" t="s">
        <v>589</v>
      </c>
      <c r="E32" s="270" t="s">
        <v>590</v>
      </c>
      <c r="F32" s="270" t="s">
        <v>589</v>
      </c>
      <c r="G32" s="270" t="s">
        <v>591</v>
      </c>
      <c r="H32" s="270" t="s">
        <v>589</v>
      </c>
      <c r="I32" s="270"/>
      <c r="J32" s="271"/>
      <c r="K32" s="271"/>
      <c r="L32" s="271"/>
      <c r="M32" s="270" t="s">
        <v>589</v>
      </c>
      <c r="N32" s="270" t="s">
        <v>592</v>
      </c>
      <c r="O32" s="270" t="s">
        <v>589</v>
      </c>
      <c r="P32" s="3"/>
      <c r="Q32" s="3"/>
      <c r="R32" s="3"/>
      <c r="S32" s="3"/>
      <c r="T32" s="3"/>
      <c r="U32" s="3"/>
      <c r="V32" s="3"/>
      <c r="W32" s="7"/>
      <c r="X32" s="7"/>
      <c r="Y32" s="7"/>
      <c r="Z32" s="7">
        <f>Z27+Z28</f>
        <v>0</v>
      </c>
      <c r="AA32" s="7"/>
      <c r="AB32" s="7"/>
      <c r="AC32" s="7"/>
      <c r="AD32" s="7"/>
      <c r="AE32" s="7"/>
      <c r="AF32" s="7"/>
      <c r="AG32" s="7"/>
      <c r="AH32" s="7"/>
      <c r="AI32" s="7"/>
      <c r="AJ32" s="7"/>
      <c r="AK32" s="7"/>
      <c r="AL32" s="7"/>
      <c r="AM32" s="7"/>
      <c r="AN32" s="7"/>
      <c r="AO32" s="7"/>
      <c r="AP32" s="7"/>
      <c r="AQ32" s="7"/>
      <c r="AR32" s="3"/>
      <c r="AS32" s="3"/>
    </row>
    <row r="33" spans="1:45" s="1" customFormat="1">
      <c r="A33" s="259" t="s">
        <v>599</v>
      </c>
      <c r="B33" s="259">
        <f>O27</f>
        <v>23</v>
      </c>
      <c r="C33" s="259">
        <f>Z27</f>
        <v>0</v>
      </c>
      <c r="D33" s="266">
        <f>B33*C33/100</f>
        <v>0</v>
      </c>
      <c r="E33" s="259">
        <f>AA27</f>
        <v>0</v>
      </c>
      <c r="F33" s="266">
        <f>B33*E33/100</f>
        <v>0</v>
      </c>
      <c r="G33" s="259">
        <f>AB27</f>
        <v>0</v>
      </c>
      <c r="H33" s="266">
        <f>B33*G33/100</f>
        <v>0</v>
      </c>
      <c r="I33" s="260"/>
      <c r="J33" s="260"/>
      <c r="K33" s="260"/>
      <c r="L33" s="260"/>
      <c r="M33" s="261"/>
      <c r="N33" s="259">
        <f>AC27</f>
        <v>0</v>
      </c>
      <c r="O33" s="266">
        <f>B33*N33/100</f>
        <v>0</v>
      </c>
      <c r="P33" s="3"/>
      <c r="Q33" s="3"/>
      <c r="R33" s="3"/>
      <c r="S33" s="3"/>
      <c r="T33" s="3"/>
      <c r="U33" s="13" t="e">
        <f>#REF!-#REF!</f>
        <v>#REF!</v>
      </c>
      <c r="V33" s="3"/>
      <c r="W33" s="7"/>
      <c r="X33" s="7"/>
      <c r="Y33" s="7"/>
      <c r="Z33" s="7"/>
      <c r="AA33" s="7"/>
      <c r="AB33" s="7"/>
      <c r="AC33" s="7"/>
      <c r="AD33" s="7"/>
      <c r="AE33" s="7"/>
      <c r="AF33" s="7"/>
      <c r="AG33" s="7"/>
      <c r="AH33" s="7"/>
      <c r="AI33" s="7"/>
      <c r="AJ33" s="7"/>
      <c r="AK33" s="7"/>
      <c r="AL33" s="7"/>
      <c r="AM33" s="7"/>
      <c r="AN33" s="7"/>
      <c r="AO33" s="7"/>
      <c r="AP33" s="7"/>
      <c r="AQ33" s="7"/>
      <c r="AR33" s="3"/>
      <c r="AS33" s="3"/>
    </row>
    <row r="34" spans="1:45" s="1" customFormat="1">
      <c r="A34" s="259" t="s">
        <v>18</v>
      </c>
      <c r="B34" s="259">
        <f>O28</f>
        <v>100</v>
      </c>
      <c r="C34" s="266">
        <f>Z28</f>
        <v>0</v>
      </c>
      <c r="D34" s="266">
        <f>B34*C34/100</f>
        <v>0</v>
      </c>
      <c r="E34" s="266">
        <f>AA28</f>
        <v>0</v>
      </c>
      <c r="F34" s="266">
        <f>B34*E34/100</f>
        <v>0</v>
      </c>
      <c r="G34" s="266">
        <f>AB28</f>
        <v>0</v>
      </c>
      <c r="H34" s="266">
        <f>B34*G34/100</f>
        <v>0</v>
      </c>
      <c r="I34" s="260"/>
      <c r="J34" s="260"/>
      <c r="K34" s="260"/>
      <c r="L34" s="260"/>
      <c r="M34" s="261">
        <v>0</v>
      </c>
      <c r="N34" s="259">
        <f>AC28</f>
        <v>0</v>
      </c>
      <c r="O34" s="266">
        <f>B34*N34/100</f>
        <v>0</v>
      </c>
      <c r="P34" s="3"/>
      <c r="Q34" s="3"/>
      <c r="R34" s="3"/>
      <c r="S34" s="3"/>
      <c r="T34" s="3"/>
      <c r="U34" s="3"/>
      <c r="V34" s="3"/>
      <c r="W34" s="7"/>
      <c r="X34" s="7"/>
      <c r="Y34" s="7"/>
      <c r="Z34" s="7"/>
      <c r="AA34" s="7"/>
      <c r="AB34" s="7"/>
      <c r="AC34" s="7"/>
      <c r="AD34" s="7"/>
      <c r="AE34" s="7"/>
      <c r="AF34" s="7"/>
      <c r="AG34" s="7"/>
      <c r="AH34" s="7"/>
      <c r="AI34" s="7"/>
      <c r="AJ34" s="7"/>
      <c r="AK34" s="7"/>
      <c r="AL34" s="7"/>
      <c r="AM34" s="7"/>
      <c r="AN34" s="7"/>
      <c r="AO34" s="7"/>
      <c r="AP34" s="7"/>
      <c r="AQ34" s="7"/>
      <c r="AR34" s="3"/>
      <c r="AS34" s="3"/>
    </row>
    <row r="35" spans="1:45" s="1" customFormat="1">
      <c r="A35" s="3"/>
      <c r="B35" s="3"/>
      <c r="C35" s="3"/>
      <c r="D35" s="3"/>
      <c r="E35" s="3"/>
      <c r="F35" s="3"/>
      <c r="G35" s="3"/>
      <c r="H35" s="3"/>
      <c r="M35" s="5"/>
      <c r="N35" s="3"/>
      <c r="O35" s="3"/>
      <c r="P35" s="3"/>
      <c r="Q35" s="3"/>
      <c r="R35" s="3"/>
      <c r="S35" s="3"/>
      <c r="T35" s="3"/>
      <c r="U35" s="3"/>
      <c r="V35" s="3"/>
      <c r="W35" s="7"/>
      <c r="X35" s="7"/>
      <c r="Y35" s="7"/>
      <c r="Z35" s="7"/>
      <c r="AA35" s="7"/>
      <c r="AB35" s="7"/>
      <c r="AC35" s="7"/>
      <c r="AD35" s="7"/>
      <c r="AE35" s="7"/>
      <c r="AF35" s="7"/>
      <c r="AG35" s="7"/>
      <c r="AH35" s="7"/>
      <c r="AI35" s="7"/>
      <c r="AJ35" s="7"/>
      <c r="AK35" s="7"/>
      <c r="AL35" s="7"/>
      <c r="AM35" s="7"/>
      <c r="AN35" s="7"/>
      <c r="AO35" s="7"/>
      <c r="AP35" s="7"/>
      <c r="AQ35" s="7"/>
      <c r="AR35" s="3"/>
      <c r="AS35" s="3"/>
    </row>
    <row r="36" spans="1:45" s="1" customFormat="1" ht="15">
      <c r="A36" s="988" t="s">
        <v>602</v>
      </c>
      <c r="B36" s="988"/>
      <c r="C36" s="988"/>
      <c r="D36" s="988"/>
      <c r="E36" s="988"/>
      <c r="F36" s="988"/>
      <c r="G36" s="988"/>
      <c r="H36" s="988"/>
      <c r="I36" s="988"/>
      <c r="J36" s="988"/>
      <c r="K36" s="988"/>
      <c r="L36" s="988"/>
      <c r="M36" s="988"/>
      <c r="N36" s="988"/>
      <c r="O36" s="3"/>
      <c r="P36" s="3"/>
      <c r="Q36" s="3"/>
      <c r="R36" s="3"/>
      <c r="S36" s="3"/>
      <c r="T36" s="3"/>
      <c r="U36" s="3"/>
      <c r="V36" s="3"/>
      <c r="W36" s="7"/>
      <c r="X36" s="7"/>
      <c r="Y36" s="7"/>
      <c r="Z36" s="7"/>
      <c r="AA36" s="7"/>
      <c r="AB36" s="7"/>
      <c r="AC36" s="7"/>
      <c r="AD36" s="7"/>
      <c r="AE36" s="7"/>
      <c r="AF36" s="7"/>
      <c r="AG36" s="7"/>
      <c r="AH36" s="7"/>
      <c r="AI36" s="7"/>
      <c r="AJ36" s="7"/>
      <c r="AK36" s="7"/>
      <c r="AL36" s="7"/>
      <c r="AM36" s="7"/>
      <c r="AN36" s="7"/>
      <c r="AO36" s="7"/>
      <c r="AP36" s="7"/>
      <c r="AQ36" s="7"/>
      <c r="AR36" s="3"/>
      <c r="AS36" s="3"/>
    </row>
    <row r="37" spans="1:45" s="1" customFormat="1" ht="45">
      <c r="A37" s="267" t="s">
        <v>593</v>
      </c>
      <c r="B37" s="267" t="s">
        <v>594</v>
      </c>
      <c r="C37" s="267" t="s">
        <v>589</v>
      </c>
      <c r="D37" s="267" t="s">
        <v>595</v>
      </c>
      <c r="E37" s="267" t="s">
        <v>589</v>
      </c>
      <c r="F37" s="267" t="s">
        <v>596</v>
      </c>
      <c r="G37" s="267" t="s">
        <v>589</v>
      </c>
      <c r="H37" s="267" t="s">
        <v>597</v>
      </c>
      <c r="I37" s="268"/>
      <c r="J37" s="268"/>
      <c r="K37" s="268"/>
      <c r="L37" s="268"/>
      <c r="M37" s="267" t="s">
        <v>597</v>
      </c>
      <c r="N37" s="267" t="s">
        <v>589</v>
      </c>
      <c r="O37" s="3"/>
      <c r="P37" s="3"/>
      <c r="Q37" s="3"/>
      <c r="R37" s="3"/>
      <c r="S37" s="3"/>
      <c r="T37" s="3"/>
      <c r="U37" s="3"/>
      <c r="V37" s="3"/>
      <c r="W37" s="7"/>
      <c r="X37" s="7"/>
      <c r="Y37" s="7"/>
      <c r="Z37" s="7"/>
      <c r="AA37" s="7"/>
      <c r="AB37" s="7"/>
      <c r="AC37" s="7"/>
      <c r="AD37" s="7"/>
      <c r="AE37" s="7"/>
      <c r="AF37" s="7"/>
      <c r="AG37" s="7"/>
      <c r="AH37" s="7"/>
      <c r="AI37" s="7"/>
      <c r="AJ37" s="7"/>
      <c r="AK37" s="7"/>
      <c r="AL37" s="7"/>
      <c r="AM37" s="7"/>
      <c r="AN37" s="7"/>
      <c r="AO37" s="7"/>
      <c r="AP37" s="7"/>
      <c r="AQ37" s="7"/>
      <c r="AR37" s="3"/>
      <c r="AS37" s="3"/>
    </row>
    <row r="38" spans="1:45" s="1" customFormat="1">
      <c r="A38" s="263">
        <f>Y27</f>
        <v>636777246</v>
      </c>
      <c r="B38" s="263">
        <f>AD27</f>
        <v>116614327</v>
      </c>
      <c r="C38" s="266">
        <f>A38*B38/100</f>
        <v>742573499912034.38</v>
      </c>
      <c r="D38" s="263">
        <f>AE27</f>
        <v>14923578</v>
      </c>
      <c r="E38" s="266">
        <f>A38*D38/100</f>
        <v>95029948993061.875</v>
      </c>
      <c r="F38" s="263">
        <f>AF27</f>
        <v>0</v>
      </c>
      <c r="G38" s="266">
        <f>A38*F38/100</f>
        <v>0</v>
      </c>
      <c r="H38" s="263">
        <f>AG27</f>
        <v>0</v>
      </c>
      <c r="I38" s="260"/>
      <c r="J38" s="260"/>
      <c r="K38" s="260"/>
      <c r="L38" s="260"/>
      <c r="M38" s="275">
        <f>AF17</f>
        <v>0</v>
      </c>
      <c r="N38" s="266">
        <f>A38*H38/100</f>
        <v>0</v>
      </c>
      <c r="O38" s="3"/>
      <c r="P38" s="3"/>
      <c r="Q38" s="3"/>
      <c r="R38" s="3"/>
      <c r="S38" s="3"/>
      <c r="T38" s="3"/>
      <c r="U38" s="3"/>
      <c r="V38" s="3"/>
      <c r="W38" s="7"/>
      <c r="X38" s="7"/>
      <c r="Y38" s="7"/>
      <c r="Z38" s="7"/>
      <c r="AA38" s="7"/>
      <c r="AB38" s="7"/>
      <c r="AC38" s="7"/>
      <c r="AD38" s="7"/>
      <c r="AE38" s="7"/>
      <c r="AF38" s="7"/>
      <c r="AG38" s="7"/>
      <c r="AH38" s="7"/>
      <c r="AI38" s="7"/>
      <c r="AJ38" s="7"/>
      <c r="AK38" s="7"/>
      <c r="AL38" s="7"/>
      <c r="AM38" s="7"/>
      <c r="AN38" s="7"/>
      <c r="AO38" s="7"/>
      <c r="AP38" s="7"/>
      <c r="AQ38" s="7"/>
      <c r="AR38" s="3"/>
      <c r="AS38" s="3"/>
    </row>
    <row r="39" spans="1:45" s="1" customFormat="1">
      <c r="A39" s="259"/>
      <c r="B39" s="259"/>
      <c r="C39" s="259"/>
      <c r="D39" s="259"/>
      <c r="E39" s="259"/>
      <c r="F39" s="259"/>
      <c r="G39" s="259"/>
      <c r="H39" s="259"/>
      <c r="I39" s="260"/>
      <c r="J39" s="260"/>
      <c r="K39" s="260"/>
      <c r="L39" s="260"/>
      <c r="M39" s="261"/>
      <c r="N39" s="259"/>
      <c r="O39" s="3"/>
      <c r="P39" s="3"/>
      <c r="Q39" s="3"/>
      <c r="R39" s="3"/>
      <c r="S39" s="3"/>
      <c r="T39" s="3"/>
      <c r="U39" s="3"/>
      <c r="V39" s="3"/>
      <c r="W39" s="7"/>
      <c r="X39" s="7"/>
      <c r="Y39" s="7"/>
      <c r="Z39" s="7"/>
      <c r="AA39" s="7"/>
      <c r="AB39" s="7"/>
      <c r="AC39" s="7"/>
      <c r="AD39" s="7"/>
      <c r="AE39" s="7"/>
      <c r="AF39" s="7"/>
      <c r="AG39" s="7"/>
      <c r="AH39" s="7"/>
      <c r="AI39" s="7"/>
      <c r="AJ39" s="7"/>
      <c r="AK39" s="7"/>
      <c r="AL39" s="7"/>
      <c r="AM39" s="7"/>
      <c r="AN39" s="7"/>
      <c r="AO39" s="7"/>
      <c r="AP39" s="7"/>
      <c r="AQ39" s="7"/>
      <c r="AR39" s="3"/>
      <c r="AS39" s="3"/>
    </row>
    <row r="40" spans="1:45" s="1" customFormat="1">
      <c r="A40" s="3"/>
      <c r="B40" s="3"/>
      <c r="C40" s="3"/>
      <c r="D40" s="3"/>
      <c r="E40" s="3"/>
      <c r="F40" s="3"/>
      <c r="G40" s="3"/>
      <c r="H40" s="3"/>
      <c r="M40" s="5"/>
      <c r="N40" s="3"/>
      <c r="O40" s="3"/>
      <c r="P40" s="3"/>
      <c r="Q40" s="3"/>
      <c r="R40" s="3"/>
      <c r="S40" s="3"/>
      <c r="T40" s="3"/>
      <c r="U40" s="3"/>
      <c r="V40" s="3"/>
      <c r="W40" s="7"/>
      <c r="X40" s="7"/>
      <c r="Y40" s="7"/>
      <c r="Z40" s="7"/>
      <c r="AA40" s="7"/>
      <c r="AB40" s="7"/>
      <c r="AC40" s="7"/>
      <c r="AD40" s="7"/>
      <c r="AE40" s="7"/>
      <c r="AF40" s="7"/>
      <c r="AG40" s="7"/>
      <c r="AH40" s="7"/>
      <c r="AI40" s="7"/>
      <c r="AJ40" s="7"/>
      <c r="AK40" s="7"/>
      <c r="AL40" s="7"/>
      <c r="AM40" s="7"/>
      <c r="AN40" s="7"/>
      <c r="AO40" s="7"/>
      <c r="AP40" s="7"/>
      <c r="AQ40" s="7"/>
      <c r="AR40" s="3"/>
      <c r="AS40" s="3"/>
    </row>
    <row r="41" spans="1:45" s="1" customFormat="1">
      <c r="A41" s="3"/>
      <c r="B41" s="3"/>
      <c r="C41" s="3"/>
      <c r="D41" s="3"/>
      <c r="E41" s="3"/>
      <c r="F41" s="3"/>
      <c r="G41" s="3"/>
      <c r="H41" s="3"/>
      <c r="I41" s="3"/>
      <c r="N41" s="5"/>
      <c r="O41" s="3"/>
      <c r="P41" s="3"/>
      <c r="Q41" s="3"/>
      <c r="R41" s="3"/>
      <c r="S41" s="3"/>
      <c r="T41" s="3"/>
      <c r="U41" s="3"/>
      <c r="V41" s="3"/>
      <c r="W41" s="7"/>
      <c r="X41" s="7"/>
      <c r="Y41" s="7"/>
      <c r="Z41" s="7"/>
      <c r="AA41" s="7"/>
      <c r="AB41" s="7"/>
      <c r="AC41" s="7"/>
      <c r="AD41" s="7"/>
      <c r="AE41" s="7"/>
      <c r="AF41" s="7"/>
      <c r="AG41" s="7"/>
      <c r="AH41" s="7"/>
      <c r="AI41" s="7"/>
      <c r="AJ41" s="7"/>
      <c r="AK41" s="7"/>
      <c r="AL41" s="7"/>
      <c r="AM41" s="7"/>
      <c r="AN41" s="7"/>
      <c r="AO41" s="7"/>
      <c r="AP41" s="7"/>
      <c r="AQ41" s="7"/>
      <c r="AR41" s="3"/>
      <c r="AS41" s="3"/>
    </row>
    <row r="42" spans="1:45" s="1" customFormat="1">
      <c r="A42" s="3"/>
      <c r="B42" s="3"/>
      <c r="C42" s="3"/>
      <c r="D42" s="3"/>
      <c r="E42" s="3"/>
      <c r="F42" s="3"/>
      <c r="G42" s="3"/>
      <c r="H42" s="3"/>
      <c r="I42" s="3"/>
      <c r="N42" s="5"/>
      <c r="O42" s="3"/>
      <c r="P42" s="3"/>
      <c r="Q42" s="3"/>
      <c r="R42" s="3"/>
      <c r="S42" s="3"/>
      <c r="T42" s="3"/>
      <c r="U42" s="3"/>
      <c r="V42" s="3"/>
      <c r="W42" s="7"/>
      <c r="X42" s="7"/>
      <c r="Y42" s="7"/>
      <c r="Z42" s="7"/>
      <c r="AA42" s="7"/>
      <c r="AB42" s="7"/>
      <c r="AC42" s="7"/>
      <c r="AD42" s="7"/>
      <c r="AE42" s="7"/>
      <c r="AF42" s="7"/>
      <c r="AG42" s="7"/>
      <c r="AH42" s="7"/>
      <c r="AI42" s="7"/>
      <c r="AJ42" s="7"/>
      <c r="AK42" s="7"/>
      <c r="AL42" s="7"/>
      <c r="AM42" s="7"/>
      <c r="AN42" s="7"/>
      <c r="AO42" s="7"/>
      <c r="AP42" s="7"/>
      <c r="AQ42" s="7"/>
      <c r="AR42" s="3"/>
      <c r="AS42" s="3"/>
    </row>
    <row r="43" spans="1:45" s="1" customFormat="1" ht="15">
      <c r="A43" s="987" t="s">
        <v>635</v>
      </c>
      <c r="B43" s="987"/>
      <c r="C43" s="987"/>
      <c r="D43" s="987"/>
      <c r="E43" s="987"/>
      <c r="F43" s="987"/>
      <c r="G43" s="987"/>
      <c r="H43" s="987"/>
      <c r="I43" s="987"/>
      <c r="J43" s="987"/>
      <c r="K43" s="987"/>
      <c r="L43" s="987"/>
      <c r="M43" s="987"/>
      <c r="N43" s="987"/>
      <c r="O43" s="987"/>
      <c r="P43" s="3"/>
      <c r="Q43" s="3"/>
      <c r="R43" s="3"/>
      <c r="S43" s="3"/>
      <c r="T43" s="3"/>
      <c r="U43" s="3"/>
      <c r="V43" s="3"/>
      <c r="W43" s="7"/>
      <c r="X43" s="7"/>
      <c r="Y43" s="7"/>
      <c r="Z43" s="7"/>
      <c r="AA43" s="7"/>
      <c r="AB43" s="7"/>
      <c r="AC43" s="7"/>
      <c r="AD43" s="7"/>
      <c r="AE43" s="7"/>
      <c r="AF43" s="7"/>
      <c r="AG43" s="7"/>
      <c r="AH43" s="7"/>
      <c r="AI43" s="7"/>
      <c r="AJ43" s="7"/>
      <c r="AK43" s="7"/>
      <c r="AL43" s="7"/>
      <c r="AM43" s="7"/>
      <c r="AN43" s="7"/>
      <c r="AO43" s="7"/>
      <c r="AP43" s="7"/>
      <c r="AQ43" s="7"/>
      <c r="AR43" s="3"/>
      <c r="AS43" s="3"/>
    </row>
    <row r="44" spans="1:45" s="1" customFormat="1" ht="60">
      <c r="A44" s="269" t="s">
        <v>598</v>
      </c>
      <c r="B44" s="270" t="s">
        <v>587</v>
      </c>
      <c r="C44" s="270" t="s">
        <v>588</v>
      </c>
      <c r="D44" s="270" t="s">
        <v>589</v>
      </c>
      <c r="E44" s="270" t="s">
        <v>590</v>
      </c>
      <c r="F44" s="270" t="s">
        <v>589</v>
      </c>
      <c r="G44" s="270" t="s">
        <v>591</v>
      </c>
      <c r="H44" s="270" t="s">
        <v>589</v>
      </c>
      <c r="I44" s="270"/>
      <c r="J44" s="271"/>
      <c r="K44" s="271"/>
      <c r="L44" s="271"/>
      <c r="M44" s="271"/>
      <c r="N44" s="270" t="s">
        <v>592</v>
      </c>
      <c r="O44" s="270" t="s">
        <v>589</v>
      </c>
      <c r="P44" s="3"/>
      <c r="Q44" s="3"/>
      <c r="R44" s="3"/>
      <c r="S44" s="3"/>
      <c r="T44" s="3"/>
      <c r="U44" s="3"/>
      <c r="V44" s="3"/>
      <c r="W44" s="7"/>
      <c r="X44" s="7"/>
      <c r="Y44" s="7"/>
      <c r="Z44" s="7"/>
      <c r="AA44" s="7"/>
      <c r="AB44" s="7"/>
      <c r="AC44" s="7"/>
      <c r="AD44" s="7"/>
      <c r="AE44" s="7"/>
      <c r="AF44" s="7"/>
      <c r="AG44" s="7"/>
      <c r="AH44" s="7"/>
      <c r="AI44" s="7"/>
      <c r="AJ44" s="7"/>
      <c r="AK44" s="7"/>
      <c r="AL44" s="7"/>
      <c r="AM44" s="7"/>
      <c r="AN44" s="7"/>
      <c r="AO44" s="7"/>
      <c r="AP44" s="7"/>
      <c r="AQ44" s="7"/>
      <c r="AR44" s="3"/>
      <c r="AS44" s="3"/>
    </row>
    <row r="45" spans="1:45" s="1" customFormat="1">
      <c r="A45" s="259" t="s">
        <v>599</v>
      </c>
      <c r="B45" s="259">
        <f>B33</f>
        <v>23</v>
      </c>
      <c r="C45" s="259">
        <f>C33</f>
        <v>0</v>
      </c>
      <c r="D45" s="266">
        <f>B45*C45/100</f>
        <v>0</v>
      </c>
      <c r="E45" s="259">
        <f>E33</f>
        <v>0</v>
      </c>
      <c r="F45" s="266">
        <f>B45*E45/100</f>
        <v>0</v>
      </c>
      <c r="G45" s="259">
        <f>G33</f>
        <v>0</v>
      </c>
      <c r="H45" s="266">
        <f>B45*G45/100</f>
        <v>0</v>
      </c>
      <c r="I45" s="260"/>
      <c r="J45" s="260"/>
      <c r="K45" s="260"/>
      <c r="L45" s="260"/>
      <c r="M45" s="261"/>
      <c r="N45" s="259">
        <f>N33</f>
        <v>0</v>
      </c>
      <c r="O45" s="266">
        <f>B45*N45/100</f>
        <v>0</v>
      </c>
      <c r="P45" s="3"/>
      <c r="Q45" s="3"/>
      <c r="R45" s="3"/>
      <c r="S45" s="3"/>
      <c r="T45" s="3"/>
      <c r="U45" s="3"/>
      <c r="V45" s="3"/>
      <c r="W45" s="7"/>
      <c r="X45" s="7"/>
      <c r="Y45" s="7"/>
      <c r="Z45" s="7"/>
      <c r="AA45" s="7"/>
      <c r="AB45" s="7"/>
      <c r="AC45" s="7"/>
      <c r="AD45" s="7"/>
      <c r="AE45" s="7"/>
      <c r="AF45" s="7"/>
      <c r="AG45" s="7"/>
      <c r="AH45" s="7"/>
      <c r="AI45" s="7"/>
      <c r="AJ45" s="7"/>
      <c r="AK45" s="7"/>
      <c r="AL45" s="7"/>
      <c r="AM45" s="7"/>
      <c r="AN45" s="7"/>
      <c r="AO45" s="7"/>
      <c r="AP45" s="7"/>
      <c r="AQ45" s="7"/>
      <c r="AR45" s="3"/>
      <c r="AS45" s="3"/>
    </row>
    <row r="46" spans="1:45" s="1" customFormat="1">
      <c r="A46" s="259" t="s">
        <v>18</v>
      </c>
      <c r="B46" s="266">
        <v>1</v>
      </c>
      <c r="C46" s="266">
        <f>C34</f>
        <v>0</v>
      </c>
      <c r="D46" s="266">
        <f>B46*C46/100</f>
        <v>0</v>
      </c>
      <c r="E46" s="266">
        <f>AA40</f>
        <v>0</v>
      </c>
      <c r="F46" s="266">
        <f>B46*E46/100</f>
        <v>0</v>
      </c>
      <c r="G46" s="266">
        <f>AB40</f>
        <v>0</v>
      </c>
      <c r="H46" s="266">
        <f>B46*G46/100</f>
        <v>0</v>
      </c>
      <c r="I46" s="260"/>
      <c r="J46" s="260"/>
      <c r="K46" s="260"/>
      <c r="L46" s="260"/>
      <c r="M46" s="261">
        <v>0</v>
      </c>
      <c r="N46" s="266">
        <f>AC40</f>
        <v>0</v>
      </c>
      <c r="O46" s="266">
        <f>B46*N46/100</f>
        <v>0</v>
      </c>
      <c r="P46" s="3"/>
      <c r="Q46" s="3"/>
      <c r="R46" s="3"/>
      <c r="S46" s="3"/>
      <c r="T46" s="3"/>
      <c r="U46" s="3"/>
      <c r="V46" s="3"/>
      <c r="W46" s="7"/>
      <c r="X46" s="7"/>
      <c r="Y46" s="7"/>
      <c r="Z46" s="7"/>
      <c r="AA46" s="7"/>
      <c r="AB46" s="7"/>
      <c r="AC46" s="7"/>
      <c r="AD46" s="7"/>
      <c r="AE46" s="7"/>
      <c r="AF46" s="7"/>
      <c r="AG46" s="7"/>
      <c r="AH46" s="7"/>
      <c r="AI46" s="7"/>
      <c r="AJ46" s="7"/>
      <c r="AK46" s="7"/>
      <c r="AL46" s="7"/>
      <c r="AM46" s="7"/>
      <c r="AN46" s="7"/>
      <c r="AO46" s="7"/>
      <c r="AP46" s="7"/>
      <c r="AQ46" s="7"/>
      <c r="AR46" s="3"/>
      <c r="AS46" s="3"/>
    </row>
    <row r="47" spans="1:45" s="1" customFormat="1">
      <c r="A47" s="3"/>
      <c r="B47" s="3"/>
      <c r="C47" s="3"/>
      <c r="D47" s="3"/>
      <c r="E47" s="3"/>
      <c r="F47" s="3"/>
      <c r="G47" s="3"/>
      <c r="H47" s="3"/>
      <c r="M47" s="5"/>
      <c r="N47" s="3"/>
      <c r="O47" s="3"/>
      <c r="P47" s="3"/>
      <c r="Q47" s="3"/>
      <c r="R47" s="3"/>
      <c r="S47" s="3"/>
      <c r="T47" s="3"/>
      <c r="U47" s="3"/>
      <c r="V47" s="3"/>
      <c r="W47" s="7"/>
      <c r="X47" s="7"/>
      <c r="Y47" s="7"/>
      <c r="Z47" s="7"/>
      <c r="AA47" s="7"/>
      <c r="AB47" s="7"/>
      <c r="AC47" s="7"/>
      <c r="AD47" s="7"/>
      <c r="AE47" s="7"/>
      <c r="AF47" s="7"/>
      <c r="AG47" s="7"/>
      <c r="AH47" s="7"/>
      <c r="AI47" s="7"/>
      <c r="AJ47" s="7"/>
      <c r="AK47" s="7"/>
      <c r="AL47" s="7"/>
      <c r="AM47" s="7"/>
      <c r="AN47" s="7"/>
      <c r="AO47" s="7"/>
      <c r="AP47" s="7"/>
      <c r="AQ47" s="7"/>
      <c r="AR47" s="3"/>
      <c r="AS47" s="3"/>
    </row>
    <row r="48" spans="1:45" s="1" customFormat="1" ht="15">
      <c r="A48" s="988" t="s">
        <v>634</v>
      </c>
      <c r="B48" s="988"/>
      <c r="C48" s="988"/>
      <c r="D48" s="988"/>
      <c r="E48" s="988"/>
      <c r="F48" s="988"/>
      <c r="G48" s="988"/>
      <c r="H48" s="988"/>
      <c r="I48" s="988"/>
      <c r="J48" s="988"/>
      <c r="K48" s="988"/>
      <c r="L48" s="988"/>
      <c r="M48" s="988"/>
      <c r="N48" s="988"/>
      <c r="O48" s="3"/>
      <c r="P48" s="3"/>
      <c r="Q48" s="3"/>
      <c r="R48" s="3"/>
      <c r="S48" s="3"/>
      <c r="T48" s="3"/>
      <c r="U48" s="3"/>
      <c r="V48" s="3"/>
      <c r="W48" s="7"/>
      <c r="X48" s="7"/>
      <c r="Y48" s="7"/>
      <c r="Z48" s="7"/>
      <c r="AA48" s="7"/>
      <c r="AB48" s="7"/>
      <c r="AC48" s="7"/>
      <c r="AD48" s="7"/>
      <c r="AE48" s="7"/>
      <c r="AF48" s="7"/>
      <c r="AG48" s="7"/>
      <c r="AH48" s="7"/>
      <c r="AI48" s="7"/>
      <c r="AJ48" s="7"/>
      <c r="AK48" s="7"/>
      <c r="AL48" s="7"/>
      <c r="AM48" s="7"/>
      <c r="AN48" s="7"/>
      <c r="AO48" s="7"/>
      <c r="AP48" s="7"/>
      <c r="AQ48" s="7"/>
      <c r="AR48" s="3"/>
      <c r="AS48" s="3"/>
    </row>
    <row r="49" spans="1:14" ht="45">
      <c r="A49" s="267" t="s">
        <v>593</v>
      </c>
      <c r="B49" s="267" t="s">
        <v>594</v>
      </c>
      <c r="C49" s="267" t="s">
        <v>589</v>
      </c>
      <c r="D49" s="267" t="s">
        <v>595</v>
      </c>
      <c r="E49" s="267" t="s">
        <v>589</v>
      </c>
      <c r="F49" s="267" t="s">
        <v>596</v>
      </c>
      <c r="G49" s="267" t="s">
        <v>589</v>
      </c>
      <c r="H49" s="267" t="s">
        <v>597</v>
      </c>
      <c r="I49" s="268"/>
      <c r="J49" s="268"/>
      <c r="K49" s="268"/>
      <c r="L49" s="268"/>
      <c r="M49" s="267" t="s">
        <v>597</v>
      </c>
      <c r="N49" s="267" t="s">
        <v>589</v>
      </c>
    </row>
    <row r="50" spans="1:14">
      <c r="A50" s="263">
        <f>A38</f>
        <v>636777246</v>
      </c>
      <c r="B50" s="263">
        <f>B38</f>
        <v>116614327</v>
      </c>
      <c r="C50" s="266">
        <f>A50*B50/100</f>
        <v>742573499912034.38</v>
      </c>
      <c r="D50" s="263">
        <f>D38</f>
        <v>14923578</v>
      </c>
      <c r="E50" s="266">
        <f>A50*D50/100</f>
        <v>95029948993061.875</v>
      </c>
      <c r="F50" s="263">
        <f>F38</f>
        <v>0</v>
      </c>
      <c r="G50" s="266">
        <f>A50*F50/100</f>
        <v>0</v>
      </c>
      <c r="H50" s="263">
        <f>H38</f>
        <v>0</v>
      </c>
      <c r="I50" s="260"/>
      <c r="J50" s="260"/>
      <c r="K50" s="260"/>
      <c r="L50" s="260"/>
      <c r="M50" s="275">
        <f>AF29</f>
        <v>0</v>
      </c>
      <c r="N50" s="266">
        <f>A50*H50/100</f>
        <v>0</v>
      </c>
    </row>
    <row r="51" spans="1:14">
      <c r="A51" s="259"/>
      <c r="B51" s="259"/>
      <c r="C51" s="259"/>
      <c r="D51" s="259"/>
      <c r="E51" s="259"/>
      <c r="F51" s="259"/>
      <c r="G51" s="259"/>
      <c r="H51" s="259"/>
      <c r="I51" s="260"/>
      <c r="J51" s="260"/>
      <c r="K51" s="260"/>
      <c r="L51" s="260"/>
      <c r="M51" s="261"/>
      <c r="N51" s="259"/>
    </row>
  </sheetData>
  <mergeCells count="84">
    <mergeCell ref="AI27:AI28"/>
    <mergeCell ref="AR6:AR7"/>
    <mergeCell ref="AS6:AS7"/>
    <mergeCell ref="W19:W23"/>
    <mergeCell ref="Y19:Y23"/>
    <mergeCell ref="AD27:AD28"/>
    <mergeCell ref="AE27:AE28"/>
    <mergeCell ref="AF27:AF28"/>
    <mergeCell ref="AG27:AG28"/>
    <mergeCell ref="AH27:AH28"/>
    <mergeCell ref="Y24:Y26"/>
    <mergeCell ref="X8:X12"/>
    <mergeCell ref="X13:X14"/>
    <mergeCell ref="A1:AS1"/>
    <mergeCell ref="AU1:AY1"/>
    <mergeCell ref="A2:AS2"/>
    <mergeCell ref="L6:L7"/>
    <mergeCell ref="M6:M7"/>
    <mergeCell ref="N6:N7"/>
    <mergeCell ref="O6:O7"/>
    <mergeCell ref="P6:P7"/>
    <mergeCell ref="Q6:Q7"/>
    <mergeCell ref="R6:R7"/>
    <mergeCell ref="S6:S7"/>
    <mergeCell ref="A5:AS5"/>
    <mergeCell ref="A6:B6"/>
    <mergeCell ref="C6:F6"/>
    <mergeCell ref="B3:AS3"/>
    <mergeCell ref="A4:AS4"/>
    <mergeCell ref="A48:N48"/>
    <mergeCell ref="T6:T7"/>
    <mergeCell ref="U6:Y6"/>
    <mergeCell ref="Z6:AF6"/>
    <mergeCell ref="H6:K6"/>
    <mergeCell ref="I15:I18"/>
    <mergeCell ref="J15:J18"/>
    <mergeCell ref="K15:K18"/>
    <mergeCell ref="A8:A26"/>
    <mergeCell ref="B8:B26"/>
    <mergeCell ref="C8:C26"/>
    <mergeCell ref="D8:D26"/>
    <mergeCell ref="E8:E26"/>
    <mergeCell ref="F8:F26"/>
    <mergeCell ref="L15:L18"/>
    <mergeCell ref="Y27:Y28"/>
    <mergeCell ref="U15:U18"/>
    <mergeCell ref="V15:V18"/>
    <mergeCell ref="W15:W18"/>
    <mergeCell ref="A43:O43"/>
    <mergeCell ref="W27:W28"/>
    <mergeCell ref="M24:M26"/>
    <mergeCell ref="U24:U26"/>
    <mergeCell ref="W24:W26"/>
    <mergeCell ref="M19:M23"/>
    <mergeCell ref="A27:N28"/>
    <mergeCell ref="A31:O31"/>
    <mergeCell ref="A36:N36"/>
    <mergeCell ref="H19:H26"/>
    <mergeCell ref="I19:I26"/>
    <mergeCell ref="J19:J26"/>
    <mergeCell ref="K19:K26"/>
    <mergeCell ref="AT8:AT26"/>
    <mergeCell ref="M13:M14"/>
    <mergeCell ref="U13:U14"/>
    <mergeCell ref="V13:V14"/>
    <mergeCell ref="W13:W14"/>
    <mergeCell ref="Y13:Y14"/>
    <mergeCell ref="M8:M12"/>
    <mergeCell ref="Y15:Y18"/>
    <mergeCell ref="U8:U12"/>
    <mergeCell ref="V8:V12"/>
    <mergeCell ref="W8:W12"/>
    <mergeCell ref="Y8:Y12"/>
    <mergeCell ref="U19:U23"/>
    <mergeCell ref="V19:V23"/>
    <mergeCell ref="V24:V26"/>
    <mergeCell ref="M15:M18"/>
    <mergeCell ref="L19:L23"/>
    <mergeCell ref="G8:G26"/>
    <mergeCell ref="H8:H14"/>
    <mergeCell ref="I8:I14"/>
    <mergeCell ref="J8:J14"/>
    <mergeCell ref="K8:K14"/>
    <mergeCell ref="H15:H1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C6BBF-2531-449A-B83D-4ADB83F305E8}">
  <dimension ref="A1:AY69"/>
  <sheetViews>
    <sheetView topLeftCell="A29" zoomScale="60" zoomScaleNormal="60" workbookViewId="0">
      <selection activeCell="D47" sqref="D47"/>
    </sheetView>
  </sheetViews>
  <sheetFormatPr baseColWidth="10" defaultColWidth="11.42578125" defaultRowHeight="14.25"/>
  <cols>
    <col min="1" max="2" width="28.42578125" style="3" customWidth="1"/>
    <col min="3" max="3" width="24" style="3" customWidth="1"/>
    <col min="4" max="4" width="30.42578125" style="3" customWidth="1"/>
    <col min="5" max="5" width="24.42578125" style="3" customWidth="1"/>
    <col min="6" max="6" width="18.42578125" style="3" customWidth="1"/>
    <col min="7" max="7" width="20.28515625" style="3" customWidth="1"/>
    <col min="8" max="8" width="37.42578125" style="3" customWidth="1"/>
    <col min="9" max="9" width="15" style="3" hidden="1" customWidth="1"/>
    <col min="10" max="11" width="12.7109375" style="2" hidden="1" customWidth="1"/>
    <col min="12" max="12" width="38.42578125" style="2" hidden="1" customWidth="1"/>
    <col min="13" max="13" width="57.42578125" style="2" hidden="1" customWidth="1"/>
    <col min="14" max="14" width="38.140625" style="5" customWidth="1"/>
    <col min="15" max="16" width="15" style="3" customWidth="1"/>
    <col min="17" max="17" width="16.28515625" style="3" customWidth="1"/>
    <col min="18" max="18" width="16.7109375" style="3" customWidth="1"/>
    <col min="19" max="19" width="16.85546875" style="3" customWidth="1"/>
    <col min="20" max="20" width="18" style="3" customWidth="1"/>
    <col min="21" max="21" width="20.140625" style="3" customWidth="1"/>
    <col min="22" max="22" width="21.42578125" style="3" customWidth="1"/>
    <col min="23" max="23" width="27.7109375" style="7" customWidth="1"/>
    <col min="24" max="24" width="25.42578125" style="7" bestFit="1" customWidth="1"/>
    <col min="25" max="34" width="25.42578125" style="7" customWidth="1"/>
    <col min="35" max="37" width="34.28515625" style="7" customWidth="1"/>
    <col min="38" max="42" width="43.85546875" style="7" customWidth="1"/>
    <col min="43" max="43" width="20" style="3" customWidth="1"/>
    <col min="44" max="44" width="20.140625" style="3" customWidth="1"/>
    <col min="45" max="45" width="30.28515625" style="2" hidden="1" customWidth="1"/>
    <col min="46" max="47" width="17.42578125" style="2" customWidth="1"/>
    <col min="48" max="48" width="21.140625" style="2" customWidth="1"/>
    <col min="49" max="49" width="16.7109375" style="2" customWidth="1"/>
    <col min="50" max="50" width="20.140625" style="2" customWidth="1"/>
    <col min="51" max="16384" width="11.42578125" style="2"/>
  </cols>
  <sheetData>
    <row r="1" spans="1:51" s="1" customFormat="1" ht="30.75" customHeight="1" thickTop="1" thickBot="1">
      <c r="A1" s="846"/>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22"/>
      <c r="AT1" s="823" t="s">
        <v>34</v>
      </c>
      <c r="AU1" s="823"/>
      <c r="AV1" s="823"/>
      <c r="AW1" s="823"/>
      <c r="AX1" s="824"/>
    </row>
    <row r="2" spans="1:51" s="1" customFormat="1" ht="27.95" customHeight="1" thickTop="1" thickBot="1">
      <c r="A2" s="856"/>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856"/>
      <c r="AQ2" s="856"/>
      <c r="AR2" s="856"/>
      <c r="AS2" s="22"/>
      <c r="AT2" s="253" t="s">
        <v>35</v>
      </c>
      <c r="AU2" s="20" t="s">
        <v>36</v>
      </c>
      <c r="AV2" s="16" t="s">
        <v>37</v>
      </c>
      <c r="AW2" s="16" t="s">
        <v>38</v>
      </c>
      <c r="AX2" s="16" t="s">
        <v>29</v>
      </c>
    </row>
    <row r="3" spans="1:51" s="1" customFormat="1" ht="25.5" customHeight="1" thickTop="1" thickBot="1">
      <c r="A3" s="256"/>
      <c r="B3" s="1041" t="s">
        <v>620</v>
      </c>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c r="AJ3" s="1042"/>
      <c r="AK3" s="1042"/>
      <c r="AL3" s="1042"/>
      <c r="AM3" s="1042"/>
      <c r="AN3" s="1042"/>
      <c r="AO3" s="1042"/>
      <c r="AP3" s="1042"/>
      <c r="AQ3" s="1042"/>
      <c r="AR3" s="1043"/>
      <c r="AS3" s="23"/>
      <c r="AT3" s="28"/>
      <c r="AU3" s="21"/>
      <c r="AV3" s="17"/>
      <c r="AW3" s="18"/>
      <c r="AX3" s="19"/>
    </row>
    <row r="4" spans="1:51" s="1" customFormat="1" ht="27.95" customHeight="1" thickTop="1" thickBot="1">
      <c r="A4" s="1044" t="s">
        <v>621</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5"/>
      <c r="AK4" s="1045"/>
      <c r="AL4" s="1045"/>
      <c r="AM4" s="1045"/>
      <c r="AN4" s="1045"/>
      <c r="AO4" s="1045"/>
      <c r="AP4" s="1045"/>
      <c r="AQ4" s="1045"/>
      <c r="AR4" s="1046"/>
      <c r="AS4" s="23"/>
      <c r="AT4" s="28"/>
      <c r="AU4" s="21"/>
      <c r="AV4" s="17"/>
      <c r="AW4" s="18"/>
      <c r="AX4" s="19"/>
    </row>
    <row r="5" spans="1:51" s="1" customFormat="1" ht="27.95" customHeight="1" thickTop="1" thickBot="1">
      <c r="A5" s="825"/>
      <c r="B5" s="825"/>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c r="AR5" s="825"/>
      <c r="AS5" s="163"/>
      <c r="AT5" s="28"/>
      <c r="AU5" s="21"/>
      <c r="AV5" s="17"/>
      <c r="AW5" s="18"/>
      <c r="AX5" s="19"/>
    </row>
    <row r="6" spans="1:51" ht="27.95" customHeight="1" thickBot="1">
      <c r="A6" s="830"/>
      <c r="B6" s="831"/>
      <c r="C6" s="832" t="s">
        <v>45</v>
      </c>
      <c r="D6" s="830"/>
      <c r="E6" s="830"/>
      <c r="F6" s="831"/>
      <c r="G6" s="29"/>
      <c r="H6" s="875" t="s">
        <v>311</v>
      </c>
      <c r="I6" s="875"/>
      <c r="J6" s="875"/>
      <c r="K6" s="875"/>
      <c r="L6" s="829" t="s">
        <v>44</v>
      </c>
      <c r="M6" s="829" t="s">
        <v>10</v>
      </c>
      <c r="N6" s="1039" t="s">
        <v>1</v>
      </c>
      <c r="O6" s="879" t="s">
        <v>48</v>
      </c>
      <c r="P6" s="879" t="s">
        <v>2</v>
      </c>
      <c r="Q6" s="879" t="s">
        <v>3</v>
      </c>
      <c r="R6" s="879" t="s">
        <v>4</v>
      </c>
      <c r="S6" s="879" t="s">
        <v>5</v>
      </c>
      <c r="T6" s="879" t="s">
        <v>6</v>
      </c>
      <c r="U6" s="878" t="s">
        <v>7</v>
      </c>
      <c r="V6" s="878"/>
      <c r="W6" s="878"/>
      <c r="X6" s="878"/>
      <c r="Y6" s="843" t="s">
        <v>564</v>
      </c>
      <c r="Z6" s="844"/>
      <c r="AA6" s="844"/>
      <c r="AB6" s="844"/>
      <c r="AC6" s="844"/>
      <c r="AD6" s="844"/>
      <c r="AE6" s="845"/>
      <c r="AF6" s="248"/>
      <c r="AG6" s="248"/>
      <c r="AH6" s="248"/>
      <c r="AI6" s="248"/>
      <c r="AJ6" s="248"/>
      <c r="AK6" s="248"/>
      <c r="AL6" s="248"/>
      <c r="AM6" s="248"/>
      <c r="AN6" s="248"/>
      <c r="AO6" s="248"/>
      <c r="AP6" s="248"/>
      <c r="AQ6" s="879" t="s">
        <v>8</v>
      </c>
      <c r="AR6" s="871" t="s">
        <v>9</v>
      </c>
      <c r="AS6" s="164"/>
      <c r="AT6" s="20" t="s">
        <v>39</v>
      </c>
      <c r="AU6" s="15" t="s">
        <v>30</v>
      </c>
      <c r="AV6" s="16" t="s">
        <v>31</v>
      </c>
      <c r="AW6" s="16" t="s">
        <v>32</v>
      </c>
      <c r="AX6" s="16" t="s">
        <v>33</v>
      </c>
    </row>
    <row r="7" spans="1:51" ht="68.25" customHeight="1" thickTop="1" thickBot="1">
      <c r="A7" s="24" t="s">
        <v>42</v>
      </c>
      <c r="B7" s="24" t="s">
        <v>43</v>
      </c>
      <c r="C7" s="24" t="s">
        <v>11</v>
      </c>
      <c r="D7" s="24" t="s">
        <v>52</v>
      </c>
      <c r="E7" s="24" t="s">
        <v>12</v>
      </c>
      <c r="F7" s="24" t="s">
        <v>47</v>
      </c>
      <c r="G7" s="24" t="s">
        <v>41</v>
      </c>
      <c r="H7" s="30" t="s">
        <v>46</v>
      </c>
      <c r="I7" s="24" t="s">
        <v>52</v>
      </c>
      <c r="J7" s="24" t="s">
        <v>12</v>
      </c>
      <c r="K7" s="24" t="s">
        <v>47</v>
      </c>
      <c r="L7" s="829"/>
      <c r="M7" s="829"/>
      <c r="N7" s="1040"/>
      <c r="O7" s="880"/>
      <c r="P7" s="880"/>
      <c r="Q7" s="880"/>
      <c r="R7" s="880"/>
      <c r="S7" s="880"/>
      <c r="T7" s="880"/>
      <c r="U7" s="24" t="s">
        <v>13</v>
      </c>
      <c r="V7" s="24" t="s">
        <v>14</v>
      </c>
      <c r="W7" s="4" t="s">
        <v>15</v>
      </c>
      <c r="X7" s="4" t="s">
        <v>16</v>
      </c>
      <c r="Y7" s="4" t="s">
        <v>565</v>
      </c>
      <c r="Z7" s="4" t="s">
        <v>566</v>
      </c>
      <c r="AA7" s="4" t="s">
        <v>567</v>
      </c>
      <c r="AB7" s="4" t="s">
        <v>568</v>
      </c>
      <c r="AC7" s="4" t="s">
        <v>569</v>
      </c>
      <c r="AD7" s="4" t="s">
        <v>570</v>
      </c>
      <c r="AE7" s="4" t="s">
        <v>571</v>
      </c>
      <c r="AF7" s="252" t="s">
        <v>572</v>
      </c>
      <c r="AG7" s="252" t="s">
        <v>573</v>
      </c>
      <c r="AH7" s="252" t="s">
        <v>574</v>
      </c>
      <c r="AI7" s="252" t="s">
        <v>575</v>
      </c>
      <c r="AJ7" s="252" t="s">
        <v>576</v>
      </c>
      <c r="AK7" s="252" t="s">
        <v>577</v>
      </c>
      <c r="AL7" s="252" t="s">
        <v>578</v>
      </c>
      <c r="AM7" s="252" t="s">
        <v>579</v>
      </c>
      <c r="AN7" s="252" t="s">
        <v>580</v>
      </c>
      <c r="AO7" s="252" t="s">
        <v>581</v>
      </c>
      <c r="AP7" s="252" t="s">
        <v>582</v>
      </c>
      <c r="AQ7" s="880"/>
      <c r="AR7" s="872" t="s">
        <v>9</v>
      </c>
      <c r="AS7" s="164"/>
    </row>
    <row r="8" spans="1:51" s="1" customFormat="1" ht="152.25" customHeight="1" thickBot="1">
      <c r="A8" s="762" t="s">
        <v>321</v>
      </c>
      <c r="B8" s="767" t="s">
        <v>277</v>
      </c>
      <c r="C8" s="138" t="s">
        <v>283</v>
      </c>
      <c r="D8" s="138" t="s">
        <v>18</v>
      </c>
      <c r="E8" s="138" t="s">
        <v>51</v>
      </c>
      <c r="F8" s="138">
        <v>90</v>
      </c>
      <c r="G8" s="767" t="s">
        <v>282</v>
      </c>
      <c r="H8" s="139" t="s">
        <v>285</v>
      </c>
      <c r="I8" s="139" t="s">
        <v>18</v>
      </c>
      <c r="J8" s="140">
        <v>50</v>
      </c>
      <c r="K8" s="140">
        <v>100</v>
      </c>
      <c r="L8" s="141"/>
      <c r="M8" s="140" t="s">
        <v>287</v>
      </c>
      <c r="N8" s="187" t="s">
        <v>433</v>
      </c>
      <c r="O8" s="138">
        <v>130</v>
      </c>
      <c r="P8" s="138" t="s">
        <v>17</v>
      </c>
      <c r="Q8" s="138">
        <v>20</v>
      </c>
      <c r="R8" s="138">
        <v>30</v>
      </c>
      <c r="S8" s="138">
        <v>40</v>
      </c>
      <c r="T8" s="138">
        <v>40</v>
      </c>
      <c r="U8" s="162" t="s">
        <v>382</v>
      </c>
      <c r="V8" s="142"/>
      <c r="W8" s="143">
        <v>35784633.606720001</v>
      </c>
      <c r="X8" s="143">
        <f>W8</f>
        <v>35784633.606720001</v>
      </c>
      <c r="Y8" s="157"/>
      <c r="Z8" s="157"/>
      <c r="AA8" s="157"/>
      <c r="AB8" s="157"/>
      <c r="AC8" s="157">
        <f>+(39576565+10017702+28235560+14658056+16555564+13387500+4250077)/10</f>
        <v>12668102.4</v>
      </c>
      <c r="AD8" s="157">
        <f>+(39576565+10017702+28235560+14658056+16555564+13387500+4250077)/10</f>
        <v>12668102.4</v>
      </c>
      <c r="AE8" s="157"/>
      <c r="AF8" s="150"/>
      <c r="AG8" s="150"/>
      <c r="AH8" s="150"/>
      <c r="AI8" s="150"/>
      <c r="AJ8" s="150"/>
      <c r="AK8" s="150"/>
      <c r="AL8" s="150"/>
      <c r="AM8" s="150"/>
      <c r="AN8" s="150"/>
      <c r="AO8" s="150"/>
      <c r="AP8" s="150"/>
      <c r="AQ8" s="138" t="s">
        <v>432</v>
      </c>
      <c r="AR8" s="138" t="s">
        <v>432</v>
      </c>
      <c r="AS8" s="809" t="s">
        <v>340</v>
      </c>
      <c r="AV8" s="1">
        <v>222558546.06720001</v>
      </c>
      <c r="AW8" s="1">
        <v>135287790</v>
      </c>
      <c r="AX8" s="1">
        <f>+AV8+AW8</f>
        <v>357846336.06720001</v>
      </c>
      <c r="AY8" s="1">
        <f>+AX8/10</f>
        <v>35784633.606720001</v>
      </c>
    </row>
    <row r="9" spans="1:51" s="1" customFormat="1" ht="117" customHeight="1" thickBot="1">
      <c r="A9" s="770"/>
      <c r="B9" s="772"/>
      <c r="C9" s="144" t="s">
        <v>284</v>
      </c>
      <c r="D9" s="144" t="s">
        <v>18</v>
      </c>
      <c r="E9" s="144" t="s">
        <v>51</v>
      </c>
      <c r="F9" s="144">
        <v>83</v>
      </c>
      <c r="G9" s="772"/>
      <c r="H9" s="145" t="s">
        <v>286</v>
      </c>
      <c r="I9" s="145" t="s">
        <v>18</v>
      </c>
      <c r="J9" s="146">
        <v>50</v>
      </c>
      <c r="K9" s="146">
        <v>100</v>
      </c>
      <c r="L9" s="147"/>
      <c r="M9" s="146" t="s">
        <v>288</v>
      </c>
      <c r="N9" s="148" t="s">
        <v>434</v>
      </c>
      <c r="O9" s="144">
        <v>26</v>
      </c>
      <c r="P9" s="144" t="s">
        <v>436</v>
      </c>
      <c r="Q9" s="144">
        <v>7</v>
      </c>
      <c r="R9" s="144">
        <v>6</v>
      </c>
      <c r="S9" s="144">
        <v>7</v>
      </c>
      <c r="T9" s="144">
        <v>6</v>
      </c>
      <c r="U9" s="162" t="s">
        <v>382</v>
      </c>
      <c r="V9" s="149"/>
      <c r="W9" s="150">
        <v>35784633.606720001</v>
      </c>
      <c r="X9" s="143">
        <f t="shared" ref="X9:X24" si="0">W9</f>
        <v>35784633.606720001</v>
      </c>
      <c r="Y9" s="157"/>
      <c r="Z9" s="157"/>
      <c r="AA9" s="157"/>
      <c r="AB9" s="157"/>
      <c r="AC9" s="157">
        <f>+(39576565+10017702+28235560+14658056+16555564+13387500+4250077)/10</f>
        <v>12668102.4</v>
      </c>
      <c r="AD9" s="157">
        <f>+(39576565+10017702+28235560+14658056+16555564+13387500+4250077)/10</f>
        <v>12668102.4</v>
      </c>
      <c r="AE9" s="157"/>
      <c r="AF9" s="150"/>
      <c r="AG9" s="150"/>
      <c r="AH9" s="150"/>
      <c r="AI9" s="150"/>
      <c r="AJ9" s="150"/>
      <c r="AK9" s="150"/>
      <c r="AL9" s="150"/>
      <c r="AM9" s="150"/>
      <c r="AN9" s="150"/>
      <c r="AO9" s="150"/>
      <c r="AP9" s="150"/>
      <c r="AQ9" s="138" t="s">
        <v>432</v>
      </c>
      <c r="AR9" s="138" t="s">
        <v>432</v>
      </c>
      <c r="AS9" s="810"/>
      <c r="AY9" s="1">
        <v>35784633.606720001</v>
      </c>
    </row>
    <row r="10" spans="1:51" s="1" customFormat="1" ht="82.5" customHeight="1" thickBot="1">
      <c r="A10" s="1106" t="s">
        <v>607</v>
      </c>
      <c r="B10" s="1107"/>
      <c r="C10" s="1107"/>
      <c r="D10" s="1107"/>
      <c r="E10" s="1107"/>
      <c r="F10" s="1107"/>
      <c r="G10" s="1107"/>
      <c r="H10" s="1107"/>
      <c r="I10" s="1107"/>
      <c r="J10" s="1107"/>
      <c r="K10" s="1107"/>
      <c r="L10" s="1107"/>
      <c r="M10" s="1107"/>
      <c r="N10" s="1108"/>
      <c r="O10" s="283">
        <f>SUM(O8:O9)</f>
        <v>156</v>
      </c>
      <c r="P10" s="283" t="s">
        <v>452</v>
      </c>
      <c r="Q10" s="283">
        <f>SUM(Q8:Q9)</f>
        <v>27</v>
      </c>
      <c r="R10" s="283">
        <f t="shared" ref="R10:T10" si="1">SUM(R8:R9)</f>
        <v>36</v>
      </c>
      <c r="S10" s="283">
        <f t="shared" si="1"/>
        <v>47</v>
      </c>
      <c r="T10" s="283">
        <f t="shared" si="1"/>
        <v>46</v>
      </c>
      <c r="U10" s="301"/>
      <c r="V10" s="241"/>
      <c r="W10" s="295">
        <f>SUM(W8:W9)</f>
        <v>71569267.213440001</v>
      </c>
      <c r="X10" s="295">
        <f>SUM(X8:X9)</f>
        <v>71569267.213440001</v>
      </c>
      <c r="Y10" s="283">
        <f>SUM(Y8:Y9)</f>
        <v>0</v>
      </c>
      <c r="Z10" s="283">
        <f t="shared" ref="Z10:AB10" si="2">SUM(Z8:Z9)</f>
        <v>0</v>
      </c>
      <c r="AA10" s="283">
        <f t="shared" si="2"/>
        <v>0</v>
      </c>
      <c r="AB10" s="283">
        <f t="shared" si="2"/>
        <v>0</v>
      </c>
      <c r="AC10" s="295">
        <f>SUM(AC8:AC9)</f>
        <v>25336204.800000001</v>
      </c>
      <c r="AD10" s="295">
        <f t="shared" ref="AD10:AH10" si="3">SUM(AD8:AD9)</f>
        <v>25336204.800000001</v>
      </c>
      <c r="AE10" s="295">
        <f t="shared" si="3"/>
        <v>0</v>
      </c>
      <c r="AF10" s="295">
        <f t="shared" si="3"/>
        <v>0</v>
      </c>
      <c r="AG10" s="295">
        <f t="shared" si="3"/>
        <v>0</v>
      </c>
      <c r="AH10" s="295">
        <f t="shared" si="3"/>
        <v>0</v>
      </c>
      <c r="AI10" s="295"/>
      <c r="AJ10" s="295"/>
      <c r="AK10" s="295"/>
      <c r="AL10" s="295"/>
      <c r="AM10" s="295"/>
      <c r="AN10" s="295"/>
      <c r="AO10" s="295"/>
      <c r="AP10" s="295"/>
      <c r="AQ10" s="285"/>
      <c r="AR10" s="285"/>
      <c r="AS10" s="810"/>
    </row>
    <row r="11" spans="1:51" s="1" customFormat="1" ht="111.75" customHeight="1" thickBot="1">
      <c r="A11" s="773" t="s">
        <v>278</v>
      </c>
      <c r="B11" s="771" t="s">
        <v>279</v>
      </c>
      <c r="C11" s="151" t="s">
        <v>322</v>
      </c>
      <c r="D11" s="144" t="s">
        <v>18</v>
      </c>
      <c r="E11" s="144" t="s">
        <v>51</v>
      </c>
      <c r="F11" s="151">
        <v>75</v>
      </c>
      <c r="G11" s="771" t="s">
        <v>290</v>
      </c>
      <c r="H11" s="145" t="s">
        <v>291</v>
      </c>
      <c r="I11" s="152" t="s">
        <v>18</v>
      </c>
      <c r="J11" s="153">
        <v>60</v>
      </c>
      <c r="K11" s="153">
        <v>80</v>
      </c>
      <c r="L11" s="154"/>
      <c r="M11" s="144" t="s">
        <v>300</v>
      </c>
      <c r="N11" s="155" t="s">
        <v>435</v>
      </c>
      <c r="O11" s="151">
        <v>85</v>
      </c>
      <c r="P11" s="151" t="s">
        <v>18</v>
      </c>
      <c r="Q11" s="151">
        <v>70</v>
      </c>
      <c r="R11" s="151" t="s">
        <v>437</v>
      </c>
      <c r="S11" s="151" t="s">
        <v>438</v>
      </c>
      <c r="T11" s="151" t="s">
        <v>439</v>
      </c>
      <c r="U11" s="162" t="s">
        <v>382</v>
      </c>
      <c r="V11" s="156"/>
      <c r="W11" s="157">
        <v>35784633.606720001</v>
      </c>
      <c r="X11" s="143">
        <f t="shared" si="0"/>
        <v>35784633.606720001</v>
      </c>
      <c r="Y11" s="317"/>
      <c r="Z11" s="317"/>
      <c r="AA11" s="317"/>
      <c r="AB11" s="317"/>
      <c r="AC11" s="157">
        <f>+(39576565+10017702+28235560+14658056+16555564+13387500+4250077)/10</f>
        <v>12668102.4</v>
      </c>
      <c r="AD11" s="157">
        <f>+(39576565+10017702+28235560+14658056+16555564+13387500+4250077)/10</f>
        <v>12668102.4</v>
      </c>
      <c r="AE11" s="157"/>
      <c r="AF11" s="150"/>
      <c r="AG11" s="150"/>
      <c r="AH11" s="150"/>
      <c r="AI11" s="150"/>
      <c r="AJ11" s="150"/>
      <c r="AK11" s="150"/>
      <c r="AL11" s="150"/>
      <c r="AM11" s="150"/>
      <c r="AN11" s="150"/>
      <c r="AO11" s="150"/>
      <c r="AP11" s="150"/>
      <c r="AQ11" s="138" t="s">
        <v>432</v>
      </c>
      <c r="AR11" s="138" t="s">
        <v>432</v>
      </c>
      <c r="AS11" s="810"/>
    </row>
    <row r="12" spans="1:51" s="1" customFormat="1" ht="93" customHeight="1" thickBot="1">
      <c r="A12" s="763"/>
      <c r="B12" s="768"/>
      <c r="C12" s="151" t="s">
        <v>289</v>
      </c>
      <c r="D12" s="144" t="s">
        <v>18</v>
      </c>
      <c r="E12" s="144">
        <v>75</v>
      </c>
      <c r="F12" s="151">
        <v>75</v>
      </c>
      <c r="G12" s="768"/>
      <c r="H12" s="152" t="s">
        <v>292</v>
      </c>
      <c r="I12" s="152" t="s">
        <v>259</v>
      </c>
      <c r="J12" s="153">
        <v>1</v>
      </c>
      <c r="K12" s="153">
        <v>1</v>
      </c>
      <c r="L12" s="154"/>
      <c r="M12" s="153" t="s">
        <v>302</v>
      </c>
      <c r="N12" s="155" t="s">
        <v>440</v>
      </c>
      <c r="O12" s="151">
        <v>1</v>
      </c>
      <c r="P12" s="151" t="s">
        <v>17</v>
      </c>
      <c r="Q12" s="151">
        <v>0</v>
      </c>
      <c r="R12" s="151">
        <v>1</v>
      </c>
      <c r="S12" s="151">
        <v>0</v>
      </c>
      <c r="T12" s="151">
        <v>0</v>
      </c>
      <c r="U12" s="162" t="s">
        <v>382</v>
      </c>
      <c r="V12" s="156"/>
      <c r="W12" s="157">
        <v>35784633.606720001</v>
      </c>
      <c r="X12" s="143">
        <f t="shared" si="0"/>
        <v>35784633.606720001</v>
      </c>
      <c r="Y12" s="317"/>
      <c r="Z12" s="317"/>
      <c r="AA12" s="317"/>
      <c r="AB12" s="317"/>
      <c r="AC12" s="157">
        <f>+(39576565+10017702+28235560+14658056+16555564+13387500+4250077)/10</f>
        <v>12668102.4</v>
      </c>
      <c r="AD12" s="157">
        <f>+(39576565+10017702+28235560+14658056+16555564+13387500+4250077)/10</f>
        <v>12668102.4</v>
      </c>
      <c r="AE12" s="157"/>
      <c r="AF12" s="150"/>
      <c r="AG12" s="150"/>
      <c r="AH12" s="150"/>
      <c r="AI12" s="150"/>
      <c r="AJ12" s="150"/>
      <c r="AK12" s="150"/>
      <c r="AL12" s="150"/>
      <c r="AM12" s="150"/>
      <c r="AN12" s="150"/>
      <c r="AO12" s="150"/>
      <c r="AP12" s="150"/>
      <c r="AQ12" s="138" t="s">
        <v>432</v>
      </c>
      <c r="AR12" s="138" t="s">
        <v>432</v>
      </c>
      <c r="AS12" s="810"/>
    </row>
    <row r="13" spans="1:51" s="1" customFormat="1" ht="120.75" customHeight="1" thickBot="1">
      <c r="A13" s="763"/>
      <c r="B13" s="768"/>
      <c r="C13" s="771" t="s">
        <v>323</v>
      </c>
      <c r="D13" s="771" t="s">
        <v>18</v>
      </c>
      <c r="E13" s="771">
        <v>75</v>
      </c>
      <c r="F13" s="771">
        <v>75</v>
      </c>
      <c r="G13" s="768"/>
      <c r="H13" s="152" t="s">
        <v>293</v>
      </c>
      <c r="I13" s="152" t="s">
        <v>18</v>
      </c>
      <c r="J13" s="153" t="s">
        <v>51</v>
      </c>
      <c r="K13" s="153">
        <v>95</v>
      </c>
      <c r="L13" s="154"/>
      <c r="M13" s="881" t="s">
        <v>301</v>
      </c>
      <c r="N13" s="155" t="s">
        <v>441</v>
      </c>
      <c r="O13" s="151">
        <v>95</v>
      </c>
      <c r="P13" s="151" t="s">
        <v>358</v>
      </c>
      <c r="Q13" s="151">
        <v>20</v>
      </c>
      <c r="R13" s="151">
        <v>25</v>
      </c>
      <c r="S13" s="151">
        <v>20</v>
      </c>
      <c r="T13" s="151">
        <v>30</v>
      </c>
      <c r="U13" s="151" t="s">
        <v>23</v>
      </c>
      <c r="V13" s="156"/>
      <c r="W13" s="157">
        <v>23200000</v>
      </c>
      <c r="X13" s="143">
        <f t="shared" si="0"/>
        <v>23200000</v>
      </c>
      <c r="Y13" s="317"/>
      <c r="Z13" s="317"/>
      <c r="AA13" s="317"/>
      <c r="AB13" s="317"/>
      <c r="AC13" s="157">
        <v>0</v>
      </c>
      <c r="AD13" s="157">
        <v>0</v>
      </c>
      <c r="AE13" s="157"/>
      <c r="AF13" s="150"/>
      <c r="AG13" s="150"/>
      <c r="AH13" s="150"/>
      <c r="AI13" s="150"/>
      <c r="AJ13" s="150"/>
      <c r="AK13" s="150"/>
      <c r="AL13" s="150"/>
      <c r="AM13" s="150"/>
      <c r="AN13" s="150"/>
      <c r="AO13" s="150"/>
      <c r="AP13" s="150"/>
      <c r="AQ13" s="138" t="s">
        <v>432</v>
      </c>
      <c r="AR13" s="138" t="s">
        <v>432</v>
      </c>
      <c r="AS13" s="810"/>
    </row>
    <row r="14" spans="1:51" s="1" customFormat="1" ht="93" customHeight="1" thickBot="1">
      <c r="A14" s="763"/>
      <c r="B14" s="768"/>
      <c r="C14" s="768"/>
      <c r="D14" s="768"/>
      <c r="E14" s="768"/>
      <c r="F14" s="768"/>
      <c r="G14" s="768"/>
      <c r="H14" s="152" t="s">
        <v>294</v>
      </c>
      <c r="I14" s="152" t="s">
        <v>18</v>
      </c>
      <c r="J14" s="153" t="s">
        <v>51</v>
      </c>
      <c r="K14" s="153">
        <v>90</v>
      </c>
      <c r="L14" s="154"/>
      <c r="M14" s="882"/>
      <c r="N14" s="155" t="s">
        <v>442</v>
      </c>
      <c r="O14" s="151">
        <v>90</v>
      </c>
      <c r="P14" s="151" t="s">
        <v>18</v>
      </c>
      <c r="Q14" s="151">
        <v>15</v>
      </c>
      <c r="R14" s="151">
        <v>23</v>
      </c>
      <c r="S14" s="151">
        <v>31</v>
      </c>
      <c r="T14" s="151">
        <v>31</v>
      </c>
      <c r="U14" s="151" t="s">
        <v>380</v>
      </c>
      <c r="V14" s="156"/>
      <c r="W14" s="157">
        <v>30000000</v>
      </c>
      <c r="X14" s="143">
        <f t="shared" si="0"/>
        <v>30000000</v>
      </c>
      <c r="Y14" s="317"/>
      <c r="Z14" s="317"/>
      <c r="AA14" s="317"/>
      <c r="AB14" s="317"/>
      <c r="AC14" s="157">
        <v>0</v>
      </c>
      <c r="AD14" s="157">
        <v>0</v>
      </c>
      <c r="AE14" s="157"/>
      <c r="AF14" s="150"/>
      <c r="AG14" s="150"/>
      <c r="AH14" s="150"/>
      <c r="AI14" s="150"/>
      <c r="AJ14" s="150"/>
      <c r="AK14" s="150"/>
      <c r="AL14" s="150"/>
      <c r="AM14" s="150"/>
      <c r="AN14" s="150"/>
      <c r="AO14" s="150"/>
      <c r="AP14" s="150"/>
      <c r="AQ14" s="138" t="s">
        <v>432</v>
      </c>
      <c r="AR14" s="138" t="s">
        <v>432</v>
      </c>
      <c r="AS14" s="810"/>
    </row>
    <row r="15" spans="1:51" s="1" customFormat="1" ht="93" customHeight="1" thickBot="1">
      <c r="A15" s="763"/>
      <c r="B15" s="768"/>
      <c r="C15" s="768"/>
      <c r="D15" s="768"/>
      <c r="E15" s="768"/>
      <c r="F15" s="768"/>
      <c r="G15" s="768"/>
      <c r="H15" s="152" t="s">
        <v>295</v>
      </c>
      <c r="I15" s="152" t="s">
        <v>18</v>
      </c>
      <c r="J15" s="153" t="s">
        <v>51</v>
      </c>
      <c r="K15" s="153">
        <v>90</v>
      </c>
      <c r="L15" s="154"/>
      <c r="M15" s="882"/>
      <c r="N15" s="155" t="s">
        <v>443</v>
      </c>
      <c r="O15" s="151">
        <v>90</v>
      </c>
      <c r="P15" s="151" t="s">
        <v>358</v>
      </c>
      <c r="Q15" s="151">
        <v>10</v>
      </c>
      <c r="R15" s="151">
        <v>20</v>
      </c>
      <c r="S15" s="151">
        <v>40</v>
      </c>
      <c r="T15" s="151">
        <v>20</v>
      </c>
      <c r="U15" s="162" t="s">
        <v>382</v>
      </c>
      <c r="V15" s="156"/>
      <c r="W15" s="157">
        <v>35784633.606720001</v>
      </c>
      <c r="X15" s="143">
        <f t="shared" si="0"/>
        <v>35784633.606720001</v>
      </c>
      <c r="Y15" s="317">
        <v>0</v>
      </c>
      <c r="Z15" s="317"/>
      <c r="AA15" s="317"/>
      <c r="AB15" s="317"/>
      <c r="AC15" s="157">
        <f t="shared" ref="AC15:AD16" si="4">+(39576565+10017702+28235560+14658056+16555564+13387500+4250077)/10</f>
        <v>12668102.4</v>
      </c>
      <c r="AD15" s="157">
        <f t="shared" si="4"/>
        <v>12668102.4</v>
      </c>
      <c r="AE15" s="157"/>
      <c r="AF15" s="150"/>
      <c r="AG15" s="150"/>
      <c r="AH15" s="150"/>
      <c r="AI15" s="150"/>
      <c r="AJ15" s="150"/>
      <c r="AK15" s="150"/>
      <c r="AL15" s="150"/>
      <c r="AM15" s="150"/>
      <c r="AN15" s="150"/>
      <c r="AO15" s="150"/>
      <c r="AP15" s="150"/>
      <c r="AQ15" s="138" t="s">
        <v>432</v>
      </c>
      <c r="AR15" s="138" t="s">
        <v>432</v>
      </c>
      <c r="AS15" s="810"/>
    </row>
    <row r="16" spans="1:51" s="1" customFormat="1" ht="93" customHeight="1" thickBot="1">
      <c r="A16" s="763"/>
      <c r="B16" s="768"/>
      <c r="C16" s="768"/>
      <c r="D16" s="768"/>
      <c r="E16" s="768"/>
      <c r="F16" s="768"/>
      <c r="G16" s="768"/>
      <c r="H16" s="152" t="s">
        <v>296</v>
      </c>
      <c r="I16" s="152" t="s">
        <v>18</v>
      </c>
      <c r="J16" s="153" t="s">
        <v>51</v>
      </c>
      <c r="K16" s="153">
        <v>90</v>
      </c>
      <c r="L16" s="154"/>
      <c r="M16" s="882"/>
      <c r="N16" s="155" t="s">
        <v>444</v>
      </c>
      <c r="O16" s="151">
        <v>90</v>
      </c>
      <c r="P16" s="151" t="s">
        <v>18</v>
      </c>
      <c r="Q16" s="151">
        <v>25</v>
      </c>
      <c r="R16" s="151">
        <v>25</v>
      </c>
      <c r="S16" s="151">
        <v>25</v>
      </c>
      <c r="T16" s="151">
        <v>20</v>
      </c>
      <c r="U16" s="162" t="s">
        <v>382</v>
      </c>
      <c r="V16" s="156"/>
      <c r="W16" s="157">
        <v>35784633.606720001</v>
      </c>
      <c r="X16" s="143">
        <f t="shared" si="0"/>
        <v>35784633.606720001</v>
      </c>
      <c r="Y16" s="317">
        <v>0</v>
      </c>
      <c r="Z16" s="317"/>
      <c r="AA16" s="317"/>
      <c r="AB16" s="317"/>
      <c r="AC16" s="157">
        <f t="shared" si="4"/>
        <v>12668102.4</v>
      </c>
      <c r="AD16" s="157">
        <f t="shared" si="4"/>
        <v>12668102.4</v>
      </c>
      <c r="AE16" s="157"/>
      <c r="AF16" s="150"/>
      <c r="AG16" s="150"/>
      <c r="AH16" s="150"/>
      <c r="AI16" s="150"/>
      <c r="AJ16" s="150"/>
      <c r="AK16" s="150"/>
      <c r="AL16" s="150"/>
      <c r="AM16" s="150"/>
      <c r="AN16" s="150"/>
      <c r="AO16" s="150"/>
      <c r="AP16" s="150"/>
      <c r="AQ16" s="138" t="s">
        <v>432</v>
      </c>
      <c r="AR16" s="138" t="s">
        <v>432</v>
      </c>
      <c r="AS16" s="810"/>
    </row>
    <row r="17" spans="1:45" s="1" customFormat="1" ht="136.5" customHeight="1" thickBot="1">
      <c r="A17" s="763"/>
      <c r="B17" s="768"/>
      <c r="C17" s="768"/>
      <c r="D17" s="768"/>
      <c r="E17" s="768"/>
      <c r="F17" s="768"/>
      <c r="G17" s="768"/>
      <c r="H17" s="152" t="s">
        <v>297</v>
      </c>
      <c r="I17" s="152" t="s">
        <v>18</v>
      </c>
      <c r="J17" s="153" t="s">
        <v>51</v>
      </c>
      <c r="K17" s="153">
        <v>90</v>
      </c>
      <c r="L17" s="154"/>
      <c r="M17" s="882"/>
      <c r="N17" s="155" t="s">
        <v>441</v>
      </c>
      <c r="O17" s="151">
        <v>95</v>
      </c>
      <c r="P17" s="151" t="s">
        <v>358</v>
      </c>
      <c r="Q17" s="151">
        <v>20</v>
      </c>
      <c r="R17" s="151">
        <v>25</v>
      </c>
      <c r="S17" s="151">
        <v>20</v>
      </c>
      <c r="T17" s="151">
        <v>30</v>
      </c>
      <c r="U17" s="151" t="s">
        <v>379</v>
      </c>
      <c r="V17" s="156"/>
      <c r="W17" s="157">
        <v>296472467</v>
      </c>
      <c r="X17" s="143">
        <f t="shared" si="0"/>
        <v>296472467</v>
      </c>
      <c r="Y17" s="317">
        <v>0</v>
      </c>
      <c r="Z17" s="317"/>
      <c r="AA17" s="317"/>
      <c r="AB17" s="317"/>
      <c r="AC17" s="157">
        <v>4823546</v>
      </c>
      <c r="AD17" s="157">
        <v>4823546</v>
      </c>
      <c r="AE17" s="157"/>
      <c r="AF17" s="150"/>
      <c r="AG17" s="150"/>
      <c r="AH17" s="150"/>
      <c r="AI17" s="150"/>
      <c r="AJ17" s="150"/>
      <c r="AK17" s="150"/>
      <c r="AL17" s="150"/>
      <c r="AM17" s="150"/>
      <c r="AN17" s="150"/>
      <c r="AO17" s="150"/>
      <c r="AP17" s="150"/>
      <c r="AQ17" s="138" t="s">
        <v>432</v>
      </c>
      <c r="AR17" s="138" t="s">
        <v>432</v>
      </c>
      <c r="AS17" s="810"/>
    </row>
    <row r="18" spans="1:45" s="1" customFormat="1" ht="123" customHeight="1" thickBot="1">
      <c r="A18" s="763"/>
      <c r="B18" s="768"/>
      <c r="C18" s="768"/>
      <c r="D18" s="768"/>
      <c r="E18" s="768"/>
      <c r="F18" s="768"/>
      <c r="G18" s="768"/>
      <c r="H18" s="152" t="s">
        <v>298</v>
      </c>
      <c r="I18" s="152" t="s">
        <v>18</v>
      </c>
      <c r="J18" s="153" t="s">
        <v>51</v>
      </c>
      <c r="K18" s="153">
        <v>90</v>
      </c>
      <c r="L18" s="154"/>
      <c r="M18" s="882"/>
      <c r="N18" s="155" t="s">
        <v>441</v>
      </c>
      <c r="O18" s="151">
        <v>95</v>
      </c>
      <c r="P18" s="151" t="s">
        <v>358</v>
      </c>
      <c r="Q18" s="151">
        <v>20</v>
      </c>
      <c r="R18" s="151">
        <v>25</v>
      </c>
      <c r="S18" s="151">
        <v>20</v>
      </c>
      <c r="T18" s="151">
        <v>30</v>
      </c>
      <c r="U18" s="162" t="s">
        <v>382</v>
      </c>
      <c r="V18" s="156"/>
      <c r="W18" s="157">
        <v>35784633.606720001</v>
      </c>
      <c r="X18" s="143">
        <f t="shared" si="0"/>
        <v>35784633.606720001</v>
      </c>
      <c r="Y18" s="317">
        <v>0</v>
      </c>
      <c r="Z18" s="317"/>
      <c r="AA18" s="317"/>
      <c r="AB18" s="317"/>
      <c r="AC18" s="157">
        <f t="shared" ref="AC18:AD19" si="5">+(39576565+10017702+28235560+14658056+16555564+13387500+4250077)/10</f>
        <v>12668102.4</v>
      </c>
      <c r="AD18" s="157">
        <f t="shared" si="5"/>
        <v>12668102.4</v>
      </c>
      <c r="AE18" s="157"/>
      <c r="AF18" s="150"/>
      <c r="AG18" s="150"/>
      <c r="AH18" s="150"/>
      <c r="AI18" s="150"/>
      <c r="AJ18" s="150"/>
      <c r="AK18" s="150"/>
      <c r="AL18" s="150"/>
      <c r="AM18" s="150"/>
      <c r="AN18" s="150"/>
      <c r="AO18" s="150"/>
      <c r="AP18" s="150"/>
      <c r="AQ18" s="138" t="s">
        <v>432</v>
      </c>
      <c r="AR18" s="138" t="s">
        <v>432</v>
      </c>
      <c r="AS18" s="810"/>
    </row>
    <row r="19" spans="1:45" s="1" customFormat="1" ht="129.75" customHeight="1" thickBot="1">
      <c r="A19" s="770"/>
      <c r="B19" s="772"/>
      <c r="C19" s="772"/>
      <c r="D19" s="772"/>
      <c r="E19" s="772"/>
      <c r="F19" s="772"/>
      <c r="G19" s="772"/>
      <c r="H19" s="152" t="s">
        <v>299</v>
      </c>
      <c r="I19" s="152" t="s">
        <v>18</v>
      </c>
      <c r="J19" s="153" t="s">
        <v>51</v>
      </c>
      <c r="K19" s="153">
        <v>90</v>
      </c>
      <c r="L19" s="154"/>
      <c r="M19" s="884"/>
      <c r="N19" s="155" t="s">
        <v>445</v>
      </c>
      <c r="O19" s="151">
        <v>100</v>
      </c>
      <c r="P19" s="151" t="s">
        <v>358</v>
      </c>
      <c r="Q19" s="151">
        <v>100</v>
      </c>
      <c r="R19" s="151">
        <v>0</v>
      </c>
      <c r="S19" s="151">
        <v>100</v>
      </c>
      <c r="T19" s="151">
        <v>0</v>
      </c>
      <c r="U19" s="162" t="s">
        <v>382</v>
      </c>
      <c r="V19" s="156"/>
      <c r="W19" s="157">
        <v>35784633.606720001</v>
      </c>
      <c r="X19" s="143">
        <f t="shared" si="0"/>
        <v>35784633.606720001</v>
      </c>
      <c r="Y19" s="317">
        <v>0</v>
      </c>
      <c r="Z19" s="317"/>
      <c r="AA19" s="317"/>
      <c r="AB19" s="317"/>
      <c r="AC19" s="157">
        <f t="shared" si="5"/>
        <v>12668102.4</v>
      </c>
      <c r="AD19" s="157">
        <f t="shared" si="5"/>
        <v>12668102.4</v>
      </c>
      <c r="AE19" s="157"/>
      <c r="AF19" s="150"/>
      <c r="AG19" s="150"/>
      <c r="AH19" s="150"/>
      <c r="AI19" s="150"/>
      <c r="AJ19" s="150"/>
      <c r="AK19" s="150"/>
      <c r="AL19" s="150"/>
      <c r="AM19" s="150"/>
      <c r="AN19" s="150"/>
      <c r="AO19" s="150"/>
      <c r="AP19" s="150"/>
      <c r="AQ19" s="138" t="s">
        <v>432</v>
      </c>
      <c r="AR19" s="138" t="s">
        <v>432</v>
      </c>
      <c r="AS19" s="810"/>
    </row>
    <row r="20" spans="1:45" s="1" customFormat="1" ht="45" customHeight="1" thickBot="1">
      <c r="A20" s="1111" t="s">
        <v>607</v>
      </c>
      <c r="B20" s="1112"/>
      <c r="C20" s="1112"/>
      <c r="D20" s="1112"/>
      <c r="E20" s="1112"/>
      <c r="F20" s="1112"/>
      <c r="G20" s="1112"/>
      <c r="H20" s="1112"/>
      <c r="I20" s="1112"/>
      <c r="J20" s="1112"/>
      <c r="K20" s="1112"/>
      <c r="L20" s="1112"/>
      <c r="M20" s="1112"/>
      <c r="N20" s="1113"/>
      <c r="O20" s="283">
        <f>O12</f>
        <v>1</v>
      </c>
      <c r="P20" s="283" t="s">
        <v>452</v>
      </c>
      <c r="Q20" s="283">
        <f>Q12</f>
        <v>0</v>
      </c>
      <c r="R20" s="283">
        <f t="shared" ref="R20:T20" si="6">R12</f>
        <v>1</v>
      </c>
      <c r="S20" s="283">
        <f t="shared" si="6"/>
        <v>0</v>
      </c>
      <c r="T20" s="283">
        <f t="shared" si="6"/>
        <v>0</v>
      </c>
      <c r="U20" s="301"/>
      <c r="V20" s="241"/>
      <c r="W20" s="1068">
        <f>SUM(W11:W19)</f>
        <v>564380268.64031994</v>
      </c>
      <c r="X20" s="1068">
        <f>SUM(X11:X19)</f>
        <v>564380268.64031994</v>
      </c>
      <c r="Y20" s="283">
        <f>Y12</f>
        <v>0</v>
      </c>
      <c r="Z20" s="283">
        <f t="shared" ref="Z20:AB20" si="7">Z12</f>
        <v>0</v>
      </c>
      <c r="AA20" s="283">
        <f t="shared" si="7"/>
        <v>0</v>
      </c>
      <c r="AB20" s="283">
        <f t="shared" si="7"/>
        <v>0</v>
      </c>
      <c r="AC20" s="1068">
        <f>SUM(AC11:AC19)</f>
        <v>80832160.400000006</v>
      </c>
      <c r="AD20" s="1068">
        <f t="shared" ref="AD20:AH20" si="8">SUM(AD11:AD19)</f>
        <v>80832160.400000006</v>
      </c>
      <c r="AE20" s="1068">
        <f t="shared" si="8"/>
        <v>0</v>
      </c>
      <c r="AF20" s="1068">
        <f t="shared" si="8"/>
        <v>0</v>
      </c>
      <c r="AG20" s="1068">
        <f t="shared" si="8"/>
        <v>0</v>
      </c>
      <c r="AH20" s="1068">
        <f t="shared" si="8"/>
        <v>0</v>
      </c>
      <c r="AI20" s="295"/>
      <c r="AJ20" s="295"/>
      <c r="AK20" s="295"/>
      <c r="AL20" s="295"/>
      <c r="AM20" s="295"/>
      <c r="AN20" s="295"/>
      <c r="AO20" s="295"/>
      <c r="AP20" s="295"/>
      <c r="AQ20" s="285"/>
      <c r="AR20" s="285"/>
      <c r="AS20" s="810"/>
    </row>
    <row r="21" spans="1:45" s="1" customFormat="1" ht="51.75" customHeight="1" thickBot="1">
      <c r="A21" s="1114"/>
      <c r="B21" s="1115"/>
      <c r="C21" s="1115"/>
      <c r="D21" s="1115"/>
      <c r="E21" s="1115"/>
      <c r="F21" s="1115"/>
      <c r="G21" s="1115"/>
      <c r="H21" s="1115"/>
      <c r="I21" s="1115"/>
      <c r="J21" s="1115"/>
      <c r="K21" s="1115"/>
      <c r="L21" s="1115"/>
      <c r="M21" s="1115"/>
      <c r="N21" s="1116"/>
      <c r="O21" s="283">
        <v>100</v>
      </c>
      <c r="P21" s="283" t="s">
        <v>18</v>
      </c>
      <c r="Q21" s="283">
        <v>100</v>
      </c>
      <c r="R21" s="283">
        <v>100</v>
      </c>
      <c r="S21" s="283">
        <v>100</v>
      </c>
      <c r="T21" s="283">
        <v>100</v>
      </c>
      <c r="U21" s="301"/>
      <c r="V21" s="241"/>
      <c r="W21" s="1069"/>
      <c r="X21" s="1069"/>
      <c r="Y21" s="313">
        <f>AVERAGE(Y11:Y20)</f>
        <v>0</v>
      </c>
      <c r="Z21" s="313">
        <f t="shared" ref="Z21:AB21" si="9">AVERAGE(Z11:Z20)</f>
        <v>0</v>
      </c>
      <c r="AA21" s="313">
        <f t="shared" si="9"/>
        <v>0</v>
      </c>
      <c r="AB21" s="313">
        <f t="shared" si="9"/>
        <v>0</v>
      </c>
      <c r="AC21" s="1069"/>
      <c r="AD21" s="1069"/>
      <c r="AE21" s="1069"/>
      <c r="AF21" s="1069"/>
      <c r="AG21" s="1069"/>
      <c r="AH21" s="1069"/>
      <c r="AI21" s="295"/>
      <c r="AJ21" s="295"/>
      <c r="AK21" s="295"/>
      <c r="AL21" s="295"/>
      <c r="AM21" s="295"/>
      <c r="AN21" s="295"/>
      <c r="AO21" s="295"/>
      <c r="AP21" s="295"/>
      <c r="AQ21" s="285"/>
      <c r="AR21" s="285"/>
      <c r="AS21" s="810"/>
    </row>
    <row r="22" spans="1:45" s="1" customFormat="1" ht="86.25" customHeight="1" thickBot="1">
      <c r="A22" s="771" t="s">
        <v>280</v>
      </c>
      <c r="B22" s="771" t="s">
        <v>281</v>
      </c>
      <c r="C22" s="151" t="s">
        <v>303</v>
      </c>
      <c r="D22" s="151" t="s">
        <v>82</v>
      </c>
      <c r="E22" s="152" t="s">
        <v>51</v>
      </c>
      <c r="F22" s="151" t="s">
        <v>329</v>
      </c>
      <c r="G22" s="771" t="s">
        <v>305</v>
      </c>
      <c r="H22" s="152" t="s">
        <v>306</v>
      </c>
      <c r="I22" s="152" t="s">
        <v>18</v>
      </c>
      <c r="J22" s="153">
        <v>80</v>
      </c>
      <c r="K22" s="153">
        <v>90</v>
      </c>
      <c r="L22" s="154"/>
      <c r="M22" s="881" t="s">
        <v>310</v>
      </c>
      <c r="N22" s="155" t="s">
        <v>446</v>
      </c>
      <c r="O22" s="151">
        <v>90</v>
      </c>
      <c r="P22" s="151" t="s">
        <v>358</v>
      </c>
      <c r="Q22" s="151">
        <v>10</v>
      </c>
      <c r="R22" s="151">
        <v>30</v>
      </c>
      <c r="S22" s="151">
        <v>30</v>
      </c>
      <c r="T22" s="151">
        <v>20</v>
      </c>
      <c r="U22" s="151">
        <v>320000</v>
      </c>
      <c r="V22" s="156"/>
      <c r="W22" s="157">
        <v>1392676803</v>
      </c>
      <c r="X22" s="143">
        <f t="shared" si="0"/>
        <v>1392676803</v>
      </c>
      <c r="Y22" s="317"/>
      <c r="Z22" s="317"/>
      <c r="AA22" s="317"/>
      <c r="AB22" s="317"/>
      <c r="AC22" s="157">
        <v>273696858</v>
      </c>
      <c r="AD22" s="317">
        <v>615950501</v>
      </c>
      <c r="AE22" s="157"/>
      <c r="AF22" s="150"/>
      <c r="AG22" s="150"/>
      <c r="AH22" s="150"/>
      <c r="AI22" s="150"/>
      <c r="AJ22" s="150"/>
      <c r="AK22" s="150"/>
      <c r="AL22" s="150"/>
      <c r="AM22" s="150"/>
      <c r="AN22" s="150"/>
      <c r="AO22" s="150"/>
      <c r="AP22" s="150"/>
      <c r="AQ22" s="138" t="s">
        <v>432</v>
      </c>
      <c r="AR22" s="138" t="s">
        <v>432</v>
      </c>
      <c r="AS22" s="810"/>
    </row>
    <row r="23" spans="1:45" s="1" customFormat="1" ht="69.75" customHeight="1" thickBot="1">
      <c r="A23" s="768"/>
      <c r="B23" s="768"/>
      <c r="C23" s="771" t="s">
        <v>304</v>
      </c>
      <c r="D23" s="771" t="s">
        <v>18</v>
      </c>
      <c r="E23" s="771" t="s">
        <v>51</v>
      </c>
      <c r="F23" s="771">
        <v>90</v>
      </c>
      <c r="G23" s="768"/>
      <c r="H23" s="152" t="s">
        <v>307</v>
      </c>
      <c r="I23" s="152" t="s">
        <v>18</v>
      </c>
      <c r="J23" s="153">
        <v>25</v>
      </c>
      <c r="K23" s="153">
        <v>15</v>
      </c>
      <c r="L23" s="154"/>
      <c r="M23" s="882"/>
      <c r="N23" s="155" t="s">
        <v>447</v>
      </c>
      <c r="O23" s="151">
        <v>80</v>
      </c>
      <c r="P23" s="151" t="s">
        <v>358</v>
      </c>
      <c r="Q23" s="151">
        <v>25</v>
      </c>
      <c r="R23" s="151">
        <v>22</v>
      </c>
      <c r="S23" s="151">
        <v>17</v>
      </c>
      <c r="T23" s="151">
        <v>16</v>
      </c>
      <c r="U23" s="162" t="s">
        <v>382</v>
      </c>
      <c r="V23" s="156"/>
      <c r="W23" s="157">
        <v>35784633.606720001</v>
      </c>
      <c r="X23" s="143">
        <f t="shared" si="0"/>
        <v>35784633.606720001</v>
      </c>
      <c r="Y23" s="317"/>
      <c r="Z23" s="317">
        <v>0</v>
      </c>
      <c r="AA23" s="317"/>
      <c r="AB23" s="317"/>
      <c r="AC23" s="157">
        <f t="shared" ref="AC23:AD24" si="10">+(39576565+10017702+28235560+14658056+16555564+13387500+4250077)/10</f>
        <v>12668102.4</v>
      </c>
      <c r="AD23" s="157">
        <f t="shared" si="10"/>
        <v>12668102.4</v>
      </c>
      <c r="AE23" s="157"/>
      <c r="AF23" s="150"/>
      <c r="AG23" s="150"/>
      <c r="AH23" s="150"/>
      <c r="AI23" s="150"/>
      <c r="AJ23" s="150"/>
      <c r="AK23" s="150"/>
      <c r="AL23" s="150"/>
      <c r="AM23" s="150"/>
      <c r="AN23" s="150"/>
      <c r="AO23" s="150"/>
      <c r="AP23" s="150"/>
      <c r="AQ23" s="138" t="s">
        <v>432</v>
      </c>
      <c r="AR23" s="138" t="s">
        <v>432</v>
      </c>
      <c r="AS23" s="810"/>
    </row>
    <row r="24" spans="1:45" s="1" customFormat="1" ht="51.75" customHeight="1" thickBot="1">
      <c r="A24" s="769"/>
      <c r="B24" s="769"/>
      <c r="C24" s="769"/>
      <c r="D24" s="769"/>
      <c r="E24" s="769"/>
      <c r="F24" s="769"/>
      <c r="G24" s="769"/>
      <c r="H24" s="158" t="s">
        <v>308</v>
      </c>
      <c r="I24" s="158" t="s">
        <v>17</v>
      </c>
      <c r="J24" s="159" t="s">
        <v>51</v>
      </c>
      <c r="K24" s="159">
        <v>1</v>
      </c>
      <c r="L24" s="160"/>
      <c r="M24" s="883"/>
      <c r="N24" s="161" t="s">
        <v>448</v>
      </c>
      <c r="O24" s="237">
        <v>1</v>
      </c>
      <c r="P24" s="237" t="s">
        <v>449</v>
      </c>
      <c r="Q24" s="237">
        <v>0</v>
      </c>
      <c r="R24" s="237">
        <v>1</v>
      </c>
      <c r="S24" s="237">
        <v>0</v>
      </c>
      <c r="T24" s="237">
        <v>0</v>
      </c>
      <c r="U24" s="302" t="s">
        <v>382</v>
      </c>
      <c r="V24" s="304"/>
      <c r="W24" s="305">
        <v>35784633.606720001</v>
      </c>
      <c r="X24" s="306">
        <f t="shared" si="0"/>
        <v>35784633.606720001</v>
      </c>
      <c r="Y24" s="318"/>
      <c r="Z24" s="318">
        <v>0</v>
      </c>
      <c r="AA24" s="318"/>
      <c r="AB24" s="318"/>
      <c r="AC24" s="157">
        <f t="shared" si="10"/>
        <v>12668102.4</v>
      </c>
      <c r="AD24" s="157">
        <f t="shared" si="10"/>
        <v>12668102.4</v>
      </c>
      <c r="AE24" s="305"/>
      <c r="AF24" s="307"/>
      <c r="AG24" s="307"/>
      <c r="AH24" s="307"/>
      <c r="AI24" s="307"/>
      <c r="AJ24" s="307"/>
      <c r="AK24" s="307"/>
      <c r="AL24" s="307"/>
      <c r="AM24" s="307"/>
      <c r="AN24" s="307"/>
      <c r="AO24" s="307"/>
      <c r="AP24" s="307"/>
      <c r="AQ24" s="236" t="s">
        <v>432</v>
      </c>
      <c r="AR24" s="236" t="s">
        <v>432</v>
      </c>
      <c r="AS24" s="811"/>
    </row>
    <row r="25" spans="1:45" s="9" customFormat="1" ht="42" customHeight="1">
      <c r="A25" s="1109" t="s">
        <v>607</v>
      </c>
      <c r="B25" s="1109"/>
      <c r="C25" s="1109"/>
      <c r="D25" s="1109"/>
      <c r="E25" s="1109"/>
      <c r="F25" s="1109"/>
      <c r="G25" s="1109"/>
      <c r="H25" s="1109"/>
      <c r="I25" s="1109"/>
      <c r="J25" s="1109"/>
      <c r="K25" s="1109"/>
      <c r="L25" s="1109"/>
      <c r="M25" s="1109"/>
      <c r="N25" s="1109"/>
      <c r="O25" s="239">
        <f>O24</f>
        <v>1</v>
      </c>
      <c r="P25" s="239" t="s">
        <v>452</v>
      </c>
      <c r="Q25" s="239">
        <f>Q24</f>
        <v>0</v>
      </c>
      <c r="R25" s="239">
        <f t="shared" ref="R25:T25" si="11">R24</f>
        <v>1</v>
      </c>
      <c r="S25" s="239">
        <f t="shared" si="11"/>
        <v>0</v>
      </c>
      <c r="T25" s="239">
        <f t="shared" si="11"/>
        <v>0</v>
      </c>
      <c r="U25" s="242"/>
      <c r="V25" s="243"/>
      <c r="W25" s="1068">
        <f>SUM(W22:W24)</f>
        <v>1464246070.2134399</v>
      </c>
      <c r="X25" s="1068">
        <f>SUM(X22:X24)</f>
        <v>1464246070.2134399</v>
      </c>
      <c r="Y25" s="239">
        <f>Y24</f>
        <v>0</v>
      </c>
      <c r="Z25" s="239">
        <f t="shared" ref="Z25:AB25" si="12">Z24</f>
        <v>0</v>
      </c>
      <c r="AA25" s="239">
        <f t="shared" si="12"/>
        <v>0</v>
      </c>
      <c r="AB25" s="239">
        <f t="shared" si="12"/>
        <v>0</v>
      </c>
      <c r="AC25" s="1068">
        <f>SUM(AC22:AC24)</f>
        <v>299033062.79999995</v>
      </c>
      <c r="AD25" s="1068">
        <f t="shared" ref="AD25:AH25" si="13">SUM(AD22:AD24)</f>
        <v>641286705.79999995</v>
      </c>
      <c r="AE25" s="1068">
        <f t="shared" si="13"/>
        <v>0</v>
      </c>
      <c r="AF25" s="1068">
        <f t="shared" si="13"/>
        <v>0</v>
      </c>
      <c r="AG25" s="1068">
        <f t="shared" si="13"/>
        <v>0</v>
      </c>
      <c r="AH25" s="1068">
        <f t="shared" si="13"/>
        <v>0</v>
      </c>
      <c r="AI25" s="244"/>
      <c r="AJ25" s="244"/>
      <c r="AK25" s="244"/>
      <c r="AL25" s="244"/>
      <c r="AM25" s="244"/>
      <c r="AN25" s="244"/>
      <c r="AO25" s="244"/>
      <c r="AP25" s="244"/>
      <c r="AQ25" s="239"/>
      <c r="AR25" s="239"/>
      <c r="AS25" s="166"/>
    </row>
    <row r="26" spans="1:45" s="9" customFormat="1" ht="42" customHeight="1">
      <c r="A26" s="1110"/>
      <c r="B26" s="1110"/>
      <c r="C26" s="1110"/>
      <c r="D26" s="1110"/>
      <c r="E26" s="1110"/>
      <c r="F26" s="1110"/>
      <c r="G26" s="1110"/>
      <c r="H26" s="1110"/>
      <c r="I26" s="1110"/>
      <c r="J26" s="1110"/>
      <c r="K26" s="1110"/>
      <c r="L26" s="1110"/>
      <c r="M26" s="1110"/>
      <c r="N26" s="1110"/>
      <c r="O26" s="239">
        <v>100</v>
      </c>
      <c r="P26" s="239" t="s">
        <v>18</v>
      </c>
      <c r="Q26" s="239">
        <f>Q22+Q23</f>
        <v>35</v>
      </c>
      <c r="R26" s="239">
        <f>R22+R23</f>
        <v>52</v>
      </c>
      <c r="S26" s="239">
        <f>S22+S23</f>
        <v>47</v>
      </c>
      <c r="T26" s="239">
        <f>T22+T23</f>
        <v>36</v>
      </c>
      <c r="U26" s="242"/>
      <c r="V26" s="243"/>
      <c r="W26" s="1069"/>
      <c r="X26" s="1069"/>
      <c r="Y26" s="313">
        <f>AVERAGE(Y23+Y22)</f>
        <v>0</v>
      </c>
      <c r="Z26" s="313">
        <f t="shared" ref="Z26:AB26" si="14">AVERAGE(Z23+Z22)</f>
        <v>0</v>
      </c>
      <c r="AA26" s="313">
        <f t="shared" si="14"/>
        <v>0</v>
      </c>
      <c r="AB26" s="313">
        <f t="shared" si="14"/>
        <v>0</v>
      </c>
      <c r="AC26" s="1069"/>
      <c r="AD26" s="1069"/>
      <c r="AE26" s="1069"/>
      <c r="AF26" s="1069"/>
      <c r="AG26" s="1069"/>
      <c r="AH26" s="1069"/>
      <c r="AI26" s="244"/>
      <c r="AJ26" s="244"/>
      <c r="AK26" s="244"/>
      <c r="AL26" s="244"/>
      <c r="AM26" s="244"/>
      <c r="AN26" s="244"/>
      <c r="AO26" s="244"/>
      <c r="AP26" s="244"/>
      <c r="AQ26" s="239"/>
      <c r="AR26" s="239"/>
      <c r="AS26" s="303"/>
    </row>
    <row r="27" spans="1:45" s="1" customFormat="1">
      <c r="A27" s="3"/>
      <c r="B27" s="3"/>
      <c r="C27" s="3"/>
      <c r="D27" s="3"/>
      <c r="E27" s="3"/>
      <c r="F27" s="3"/>
      <c r="G27" s="3"/>
      <c r="H27" s="3"/>
      <c r="I27" s="3"/>
      <c r="N27" s="5"/>
      <c r="O27" s="3"/>
      <c r="P27" s="3"/>
      <c r="Q27" s="3"/>
      <c r="R27" s="3"/>
      <c r="S27" s="3"/>
      <c r="T27" s="3"/>
      <c r="U27" s="3"/>
      <c r="V27" s="3"/>
      <c r="W27" s="7"/>
      <c r="X27" s="8"/>
      <c r="Y27" s="8"/>
      <c r="Z27" s="8"/>
      <c r="AA27" s="8"/>
      <c r="AB27" s="8"/>
      <c r="AC27" s="8"/>
      <c r="AD27" s="8"/>
      <c r="AE27" s="8"/>
      <c r="AF27" s="8"/>
      <c r="AG27" s="8"/>
      <c r="AH27" s="8"/>
      <c r="AI27" s="8"/>
      <c r="AJ27" s="8"/>
      <c r="AK27" s="8"/>
      <c r="AL27" s="8"/>
      <c r="AM27" s="8"/>
      <c r="AN27" s="8"/>
      <c r="AO27" s="8"/>
      <c r="AP27" s="8"/>
      <c r="AQ27" s="3"/>
      <c r="AR27" s="3"/>
    </row>
    <row r="28" spans="1:45" s="1" customFormat="1">
      <c r="A28" s="3"/>
      <c r="B28" s="3"/>
      <c r="C28" s="3"/>
      <c r="D28" s="3"/>
      <c r="E28" s="3"/>
      <c r="F28" s="3"/>
      <c r="G28" s="3"/>
      <c r="H28" s="3"/>
      <c r="I28" s="3"/>
      <c r="N28" s="5"/>
      <c r="O28" s="3"/>
      <c r="P28" s="3"/>
      <c r="Q28" s="3"/>
      <c r="R28" s="3"/>
      <c r="S28" s="3"/>
      <c r="T28" s="3"/>
      <c r="U28" s="3">
        <v>90692582256</v>
      </c>
      <c r="V28" s="3"/>
      <c r="W28" s="7"/>
      <c r="X28" s="8"/>
      <c r="Y28" s="8"/>
      <c r="Z28" s="8"/>
      <c r="AA28" s="8"/>
      <c r="AB28" s="8"/>
      <c r="AC28" s="8"/>
      <c r="AD28" s="8"/>
      <c r="AE28" s="8"/>
      <c r="AF28" s="8"/>
      <c r="AG28" s="8"/>
      <c r="AH28" s="8"/>
      <c r="AI28" s="8"/>
      <c r="AJ28" s="8"/>
      <c r="AK28" s="8"/>
      <c r="AL28" s="8"/>
      <c r="AM28" s="8"/>
      <c r="AN28" s="8"/>
      <c r="AO28" s="8"/>
      <c r="AP28" s="8"/>
      <c r="AQ28" s="3"/>
      <c r="AR28" s="3"/>
    </row>
    <row r="29" spans="1:45" s="1" customFormat="1">
      <c r="A29" s="3"/>
      <c r="B29" s="3"/>
      <c r="C29" s="3"/>
      <c r="D29" s="3"/>
      <c r="E29" s="3"/>
      <c r="F29" s="3"/>
      <c r="G29" s="3"/>
      <c r="H29" s="3"/>
      <c r="M29" s="5"/>
      <c r="N29" s="3"/>
      <c r="O29" s="3"/>
      <c r="P29" s="3"/>
      <c r="Q29" s="3"/>
      <c r="R29" s="3"/>
      <c r="S29" s="3"/>
      <c r="T29" s="3"/>
      <c r="U29" s="3">
        <v>59707696938</v>
      </c>
      <c r="V29" s="3"/>
      <c r="W29" s="7"/>
      <c r="X29" s="11">
        <f>W25-X25</f>
        <v>0</v>
      </c>
      <c r="Y29" s="11"/>
      <c r="Z29" s="11"/>
      <c r="AA29" s="11"/>
      <c r="AB29" s="11"/>
      <c r="AC29" s="11"/>
      <c r="AD29" s="11"/>
      <c r="AE29" s="11"/>
      <c r="AF29" s="11"/>
      <c r="AG29" s="11"/>
      <c r="AH29" s="11"/>
      <c r="AI29" s="11"/>
      <c r="AJ29" s="11"/>
      <c r="AK29" s="11"/>
      <c r="AL29" s="11"/>
      <c r="AM29" s="11"/>
      <c r="AN29" s="11"/>
      <c r="AO29" s="11"/>
      <c r="AP29" s="11"/>
      <c r="AQ29" s="3"/>
      <c r="AR29" s="3"/>
    </row>
    <row r="30" spans="1:45" s="1" customFormat="1" ht="15">
      <c r="A30" s="987" t="s">
        <v>601</v>
      </c>
      <c r="B30" s="987"/>
      <c r="C30" s="987"/>
      <c r="D30" s="987"/>
      <c r="E30" s="987"/>
      <c r="F30" s="987"/>
      <c r="G30" s="987"/>
      <c r="H30" s="987"/>
      <c r="I30" s="987"/>
      <c r="J30" s="987"/>
      <c r="K30" s="987"/>
      <c r="L30" s="987"/>
      <c r="M30" s="987"/>
      <c r="N30" s="987"/>
      <c r="O30" s="987"/>
      <c r="P30" s="3"/>
      <c r="Q30" s="3"/>
      <c r="R30" s="3"/>
      <c r="S30" s="3"/>
      <c r="T30" s="3"/>
      <c r="U30" s="3">
        <f>+U28-U29</f>
        <v>30984885318</v>
      </c>
      <c r="V30" s="3"/>
      <c r="W30" s="7"/>
      <c r="X30" s="7"/>
      <c r="Y30" s="7"/>
      <c r="Z30" s="7"/>
      <c r="AA30" s="7"/>
      <c r="AB30" s="7"/>
      <c r="AC30" s="7"/>
      <c r="AD30" s="7"/>
      <c r="AE30" s="7"/>
      <c r="AF30" s="7"/>
      <c r="AG30" s="7"/>
      <c r="AH30" s="7"/>
      <c r="AI30" s="7"/>
      <c r="AJ30" s="7"/>
      <c r="AK30" s="7"/>
      <c r="AL30" s="7"/>
      <c r="AM30" s="7"/>
      <c r="AN30" s="7"/>
      <c r="AO30" s="7"/>
      <c r="AP30" s="7"/>
      <c r="AQ30" s="3"/>
      <c r="AR30" s="3"/>
    </row>
    <row r="31" spans="1:45" s="1" customFormat="1" ht="60">
      <c r="A31" s="269" t="s">
        <v>598</v>
      </c>
      <c r="B31" s="270" t="s">
        <v>587</v>
      </c>
      <c r="C31" s="270" t="s">
        <v>588</v>
      </c>
      <c r="D31" s="270" t="s">
        <v>589</v>
      </c>
      <c r="E31" s="270" t="s">
        <v>590</v>
      </c>
      <c r="F31" s="270" t="s">
        <v>589</v>
      </c>
      <c r="G31" s="270" t="s">
        <v>591</v>
      </c>
      <c r="H31" s="270" t="s">
        <v>589</v>
      </c>
      <c r="I31" s="270"/>
      <c r="J31" s="271"/>
      <c r="K31" s="271"/>
      <c r="L31" s="271"/>
      <c r="M31" s="270" t="s">
        <v>589</v>
      </c>
      <c r="N31" s="270" t="s">
        <v>592</v>
      </c>
      <c r="O31" s="270" t="s">
        <v>589</v>
      </c>
      <c r="P31" s="3"/>
      <c r="Q31" s="3"/>
      <c r="R31" s="3"/>
      <c r="S31" s="3"/>
      <c r="T31" s="3"/>
      <c r="U31" s="3"/>
      <c r="V31" s="3"/>
      <c r="W31" s="7"/>
      <c r="X31" s="7"/>
      <c r="Y31" s="7"/>
      <c r="Z31" s="7"/>
      <c r="AA31" s="7"/>
      <c r="AB31" s="7"/>
      <c r="AC31" s="7"/>
      <c r="AD31" s="7"/>
      <c r="AE31" s="7"/>
      <c r="AF31" s="7"/>
      <c r="AG31" s="7"/>
      <c r="AH31" s="7"/>
      <c r="AI31" s="7"/>
      <c r="AJ31" s="7"/>
      <c r="AK31" s="7"/>
      <c r="AL31" s="7"/>
      <c r="AM31" s="7"/>
      <c r="AN31" s="7"/>
      <c r="AO31" s="7"/>
      <c r="AP31" s="7"/>
      <c r="AQ31" s="3"/>
      <c r="AR31" s="3"/>
    </row>
    <row r="32" spans="1:45" s="1" customFormat="1">
      <c r="A32" s="259" t="s">
        <v>599</v>
      </c>
      <c r="B32" s="259">
        <f>O10</f>
        <v>156</v>
      </c>
      <c r="C32" s="259">
        <f>Y10</f>
        <v>0</v>
      </c>
      <c r="D32" s="266">
        <f>B32*C32/100</f>
        <v>0</v>
      </c>
      <c r="E32" s="259">
        <f>Z10</f>
        <v>0</v>
      </c>
      <c r="F32" s="266">
        <f>B32*E32/100</f>
        <v>0</v>
      </c>
      <c r="G32" s="259">
        <f>AA10</f>
        <v>0</v>
      </c>
      <c r="H32" s="266">
        <f>B32*G32/100</f>
        <v>0</v>
      </c>
      <c r="I32" s="260"/>
      <c r="J32" s="260"/>
      <c r="K32" s="260"/>
      <c r="L32" s="260"/>
      <c r="M32" s="261"/>
      <c r="N32" s="259">
        <f>AB10</f>
        <v>0</v>
      </c>
      <c r="O32" s="266">
        <f>B32*N32/100</f>
        <v>0</v>
      </c>
      <c r="P32" s="3"/>
      <c r="Q32" s="3"/>
      <c r="R32" s="3"/>
      <c r="S32" s="3"/>
      <c r="T32" s="3"/>
      <c r="U32" s="3"/>
      <c r="V32" s="3"/>
      <c r="W32" s="7"/>
      <c r="X32" s="7">
        <f>W25-X34</f>
        <v>-89228336186.78656</v>
      </c>
      <c r="Y32" s="7"/>
      <c r="Z32" s="7"/>
      <c r="AA32" s="7"/>
      <c r="AB32" s="7"/>
      <c r="AC32" s="7"/>
      <c r="AD32" s="7"/>
      <c r="AE32" s="7"/>
      <c r="AF32" s="7"/>
      <c r="AG32" s="7"/>
      <c r="AH32" s="7"/>
      <c r="AI32" s="7"/>
      <c r="AJ32" s="7"/>
      <c r="AK32" s="7"/>
      <c r="AL32" s="7"/>
      <c r="AM32" s="7"/>
      <c r="AN32" s="7"/>
      <c r="AO32" s="7"/>
      <c r="AP32" s="7"/>
      <c r="AQ32" s="3"/>
      <c r="AR32" s="3"/>
    </row>
    <row r="33" spans="1:44" s="1" customFormat="1">
      <c r="A33" s="3"/>
      <c r="B33" s="3"/>
      <c r="C33" s="3"/>
      <c r="D33" s="3"/>
      <c r="E33" s="3"/>
      <c r="F33" s="3"/>
      <c r="G33" s="3"/>
      <c r="H33" s="3"/>
      <c r="M33" s="5"/>
      <c r="N33" s="3"/>
      <c r="O33" s="3"/>
      <c r="P33" s="3"/>
      <c r="Q33" s="3"/>
      <c r="R33" s="3"/>
      <c r="S33" s="3"/>
      <c r="T33" s="3"/>
      <c r="U33" s="3"/>
      <c r="V33" s="14">
        <f>X34-W25</f>
        <v>89228336186.78656</v>
      </c>
      <c r="W33" s="7"/>
      <c r="X33" s="7"/>
      <c r="Y33" s="7"/>
      <c r="Z33" s="7"/>
      <c r="AA33" s="7"/>
      <c r="AB33" s="7"/>
      <c r="AC33" s="7"/>
      <c r="AD33" s="7"/>
      <c r="AE33" s="7"/>
      <c r="AF33" s="7"/>
      <c r="AG33" s="7"/>
      <c r="AH33" s="7"/>
      <c r="AI33" s="7"/>
      <c r="AJ33" s="7"/>
      <c r="AK33" s="7"/>
      <c r="AL33" s="7"/>
      <c r="AM33" s="7"/>
      <c r="AN33" s="7"/>
      <c r="AO33" s="7"/>
      <c r="AP33" s="7"/>
      <c r="AQ33" s="3"/>
      <c r="AR33" s="3"/>
    </row>
    <row r="34" spans="1:44" s="1" customFormat="1" ht="23.25">
      <c r="A34" s="988" t="s">
        <v>602</v>
      </c>
      <c r="B34" s="988"/>
      <c r="C34" s="988"/>
      <c r="D34" s="988"/>
      <c r="E34" s="988"/>
      <c r="F34" s="988"/>
      <c r="G34" s="988"/>
      <c r="H34" s="988"/>
      <c r="I34" s="988"/>
      <c r="J34" s="988"/>
      <c r="K34" s="988"/>
      <c r="L34" s="988"/>
      <c r="M34" s="988"/>
      <c r="N34" s="988"/>
      <c r="O34" s="3"/>
      <c r="P34" s="3"/>
      <c r="Q34" s="3"/>
      <c r="R34" s="3"/>
      <c r="S34" s="3"/>
      <c r="T34" s="3"/>
      <c r="U34" s="3"/>
      <c r="V34" s="3"/>
      <c r="W34" s="7"/>
      <c r="X34" s="12">
        <v>90692582257</v>
      </c>
      <c r="Y34" s="245"/>
      <c r="Z34" s="245"/>
      <c r="AA34" s="245"/>
      <c r="AB34" s="245"/>
      <c r="AC34" s="245"/>
      <c r="AD34" s="245"/>
      <c r="AE34" s="245"/>
      <c r="AF34" s="245"/>
      <c r="AG34" s="245"/>
      <c r="AH34" s="245"/>
      <c r="AI34" s="245"/>
      <c r="AJ34" s="245"/>
      <c r="AK34" s="245"/>
      <c r="AL34" s="245"/>
      <c r="AM34" s="245"/>
      <c r="AN34" s="245"/>
      <c r="AO34" s="245"/>
      <c r="AP34" s="245"/>
      <c r="AQ34" s="13">
        <f>X34-X25</f>
        <v>89228336186.78656</v>
      </c>
      <c r="AR34" s="3"/>
    </row>
    <row r="35" spans="1:44" s="1" customFormat="1" ht="45">
      <c r="A35" s="267" t="s">
        <v>593</v>
      </c>
      <c r="B35" s="267" t="s">
        <v>594</v>
      </c>
      <c r="C35" s="267" t="s">
        <v>589</v>
      </c>
      <c r="D35" s="267" t="s">
        <v>595</v>
      </c>
      <c r="E35" s="267" t="s">
        <v>589</v>
      </c>
      <c r="F35" s="267" t="s">
        <v>596</v>
      </c>
      <c r="G35" s="267" t="s">
        <v>589</v>
      </c>
      <c r="H35" s="267" t="s">
        <v>597</v>
      </c>
      <c r="I35" s="268"/>
      <c r="J35" s="268"/>
      <c r="K35" s="268"/>
      <c r="L35" s="268"/>
      <c r="M35" s="267" t="s">
        <v>597</v>
      </c>
      <c r="N35" s="267" t="s">
        <v>589</v>
      </c>
      <c r="O35" s="3"/>
      <c r="P35" s="3"/>
      <c r="Q35" s="3"/>
      <c r="R35" s="3"/>
      <c r="S35" s="3"/>
      <c r="T35" s="3"/>
      <c r="U35" s="3"/>
      <c r="V35" s="3"/>
      <c r="W35" s="7"/>
      <c r="X35" s="7"/>
      <c r="Y35" s="7"/>
      <c r="Z35" s="7"/>
      <c r="AA35" s="7"/>
      <c r="AB35" s="7"/>
      <c r="AC35" s="7"/>
      <c r="AD35" s="7"/>
      <c r="AE35" s="7"/>
      <c r="AF35" s="7"/>
      <c r="AG35" s="7"/>
      <c r="AH35" s="7"/>
      <c r="AI35" s="7"/>
      <c r="AJ35" s="7"/>
      <c r="AK35" s="7"/>
      <c r="AL35" s="7"/>
      <c r="AM35" s="7"/>
      <c r="AN35" s="7"/>
      <c r="AO35" s="7"/>
      <c r="AP35" s="7"/>
      <c r="AQ35" s="3"/>
      <c r="AR35" s="3"/>
    </row>
    <row r="36" spans="1:44" s="1" customFormat="1">
      <c r="A36" s="263">
        <f>X10</f>
        <v>71569267.213440001</v>
      </c>
      <c r="B36" s="263">
        <f>AC10</f>
        <v>25336204.800000001</v>
      </c>
      <c r="C36" s="266">
        <f>A36*B36/100</f>
        <v>18132936115056.414</v>
      </c>
      <c r="D36" s="263">
        <f>AD10</f>
        <v>25336204.800000001</v>
      </c>
      <c r="E36" s="266">
        <f>A36*D36/100</f>
        <v>18132936115056.414</v>
      </c>
      <c r="F36" s="263">
        <f>AE10</f>
        <v>0</v>
      </c>
      <c r="G36" s="266">
        <f>A36*F36/100</f>
        <v>0</v>
      </c>
      <c r="H36" s="263">
        <f>AF10</f>
        <v>0</v>
      </c>
      <c r="I36" s="260"/>
      <c r="J36" s="260"/>
      <c r="K36" s="260"/>
      <c r="L36" s="260"/>
      <c r="M36" s="275">
        <f>AE16</f>
        <v>0</v>
      </c>
      <c r="N36" s="266">
        <f>A36*H36/100</f>
        <v>0</v>
      </c>
      <c r="O36" s="3"/>
      <c r="P36" s="3"/>
      <c r="Q36" s="3"/>
      <c r="R36" s="3"/>
      <c r="S36" s="3"/>
      <c r="T36" s="3"/>
      <c r="U36" s="13">
        <f>W25-U29</f>
        <v>-58243450867.78656</v>
      </c>
      <c r="V36" s="3"/>
      <c r="W36" s="7"/>
      <c r="X36" s="7"/>
      <c r="Y36" s="7"/>
      <c r="Z36" s="7"/>
      <c r="AA36" s="7"/>
      <c r="AB36" s="7"/>
      <c r="AC36" s="7"/>
      <c r="AD36" s="7"/>
      <c r="AE36" s="7"/>
      <c r="AF36" s="7"/>
      <c r="AG36" s="7"/>
      <c r="AH36" s="7"/>
      <c r="AI36" s="7"/>
      <c r="AJ36" s="7"/>
      <c r="AK36" s="7"/>
      <c r="AL36" s="7"/>
      <c r="AM36" s="7"/>
      <c r="AN36" s="7"/>
      <c r="AO36" s="7"/>
      <c r="AP36" s="7"/>
      <c r="AQ36" s="3"/>
      <c r="AR36" s="3"/>
    </row>
    <row r="37" spans="1:44" s="1" customFormat="1">
      <c r="A37" s="259"/>
      <c r="B37" s="259"/>
      <c r="C37" s="259"/>
      <c r="D37" s="259"/>
      <c r="E37" s="259"/>
      <c r="F37" s="259"/>
      <c r="G37" s="259"/>
      <c r="H37" s="259"/>
      <c r="I37" s="260"/>
      <c r="J37" s="260"/>
      <c r="K37" s="260"/>
      <c r="L37" s="260"/>
      <c r="M37" s="261"/>
      <c r="N37" s="259"/>
      <c r="O37" s="3"/>
      <c r="P37" s="3"/>
      <c r="Q37" s="3"/>
      <c r="R37" s="3"/>
      <c r="S37" s="3"/>
      <c r="T37" s="3"/>
      <c r="U37" s="3"/>
      <c r="V37" s="3"/>
      <c r="W37" s="7"/>
      <c r="X37" s="7"/>
      <c r="Y37" s="7"/>
      <c r="Z37" s="7"/>
      <c r="AA37" s="7"/>
      <c r="AB37" s="7"/>
      <c r="AC37" s="7"/>
      <c r="AD37" s="7"/>
      <c r="AE37" s="7"/>
      <c r="AF37" s="7"/>
      <c r="AG37" s="7"/>
      <c r="AH37" s="7"/>
      <c r="AI37" s="7"/>
      <c r="AJ37" s="7"/>
      <c r="AK37" s="7"/>
      <c r="AL37" s="7"/>
      <c r="AM37" s="7"/>
      <c r="AN37" s="7"/>
      <c r="AO37" s="7"/>
      <c r="AP37" s="7"/>
      <c r="AQ37" s="3"/>
      <c r="AR37" s="3"/>
    </row>
    <row r="38" spans="1:44" s="1" customFormat="1">
      <c r="A38" s="3"/>
      <c r="B38" s="3"/>
      <c r="C38" s="3"/>
      <c r="D38" s="3"/>
      <c r="E38" s="3"/>
      <c r="F38" s="3"/>
      <c r="G38" s="3"/>
      <c r="H38" s="3"/>
      <c r="M38" s="5"/>
      <c r="N38" s="3"/>
      <c r="O38" s="3"/>
      <c r="P38" s="3"/>
      <c r="Q38" s="3"/>
      <c r="R38" s="3"/>
      <c r="S38" s="3"/>
      <c r="T38" s="3"/>
      <c r="U38" s="3"/>
      <c r="V38" s="3"/>
      <c r="W38" s="7"/>
      <c r="X38" s="7"/>
      <c r="Y38" s="7"/>
      <c r="Z38" s="7"/>
      <c r="AA38" s="7"/>
      <c r="AB38" s="7"/>
      <c r="AC38" s="7"/>
      <c r="AD38" s="7"/>
      <c r="AE38" s="7"/>
      <c r="AF38" s="7"/>
      <c r="AG38" s="7"/>
      <c r="AH38" s="7"/>
      <c r="AI38" s="7"/>
      <c r="AJ38" s="7"/>
      <c r="AK38" s="7"/>
      <c r="AL38" s="7"/>
      <c r="AM38" s="7"/>
      <c r="AN38" s="7"/>
      <c r="AO38" s="7"/>
      <c r="AP38" s="7"/>
      <c r="AQ38" s="3"/>
      <c r="AR38" s="3"/>
    </row>
    <row r="39" spans="1:44" s="1" customFormat="1" ht="15">
      <c r="A39" s="987" t="s">
        <v>603</v>
      </c>
      <c r="B39" s="987"/>
      <c r="C39" s="987"/>
      <c r="D39" s="987"/>
      <c r="E39" s="987"/>
      <c r="F39" s="987"/>
      <c r="G39" s="987"/>
      <c r="H39" s="987"/>
      <c r="I39" s="987"/>
      <c r="J39" s="987"/>
      <c r="K39" s="987"/>
      <c r="L39" s="987"/>
      <c r="M39" s="987"/>
      <c r="N39" s="987"/>
      <c r="O39" s="987"/>
      <c r="P39" s="3"/>
      <c r="Q39" s="3"/>
      <c r="R39" s="3"/>
      <c r="S39" s="3"/>
      <c r="T39" s="3"/>
      <c r="U39" s="3"/>
      <c r="V39" s="3"/>
      <c r="W39" s="7"/>
      <c r="X39" s="7"/>
      <c r="Y39" s="7"/>
      <c r="Z39" s="7"/>
      <c r="AA39" s="7"/>
      <c r="AB39" s="7"/>
      <c r="AC39" s="7"/>
      <c r="AD39" s="7"/>
      <c r="AE39" s="7"/>
      <c r="AF39" s="7"/>
      <c r="AG39" s="7"/>
      <c r="AH39" s="7"/>
      <c r="AI39" s="7"/>
      <c r="AJ39" s="7"/>
      <c r="AK39" s="7"/>
      <c r="AL39" s="7"/>
      <c r="AM39" s="7"/>
      <c r="AN39" s="7"/>
      <c r="AO39" s="7"/>
      <c r="AP39" s="7"/>
      <c r="AQ39" s="3"/>
      <c r="AR39" s="3"/>
    </row>
    <row r="40" spans="1:44" s="1" customFormat="1" ht="60">
      <c r="A40" s="269" t="s">
        <v>598</v>
      </c>
      <c r="B40" s="270" t="s">
        <v>587</v>
      </c>
      <c r="C40" s="270" t="s">
        <v>588</v>
      </c>
      <c r="D40" s="270" t="s">
        <v>589</v>
      </c>
      <c r="E40" s="270" t="s">
        <v>590</v>
      </c>
      <c r="F40" s="270" t="s">
        <v>589</v>
      </c>
      <c r="G40" s="270" t="s">
        <v>591</v>
      </c>
      <c r="H40" s="270" t="s">
        <v>589</v>
      </c>
      <c r="I40" s="270"/>
      <c r="J40" s="271"/>
      <c r="K40" s="271"/>
      <c r="L40" s="271"/>
      <c r="M40" s="270" t="s">
        <v>589</v>
      </c>
      <c r="N40" s="270" t="s">
        <v>592</v>
      </c>
      <c r="O40" s="270" t="s">
        <v>589</v>
      </c>
      <c r="P40" s="3"/>
      <c r="Q40" s="3"/>
      <c r="R40" s="3"/>
      <c r="S40" s="3"/>
      <c r="T40" s="3"/>
      <c r="U40" s="3"/>
      <c r="V40" s="3"/>
      <c r="W40" s="7"/>
      <c r="X40" s="7"/>
      <c r="Y40" s="7"/>
      <c r="Z40" s="7"/>
      <c r="AA40" s="7"/>
      <c r="AB40" s="7"/>
      <c r="AC40" s="7"/>
      <c r="AD40" s="7"/>
      <c r="AE40" s="7"/>
      <c r="AF40" s="7"/>
      <c r="AG40" s="7"/>
      <c r="AH40" s="7"/>
      <c r="AI40" s="7"/>
      <c r="AJ40" s="7"/>
      <c r="AK40" s="7"/>
      <c r="AL40" s="7"/>
      <c r="AM40" s="7"/>
      <c r="AN40" s="7"/>
      <c r="AO40" s="7"/>
      <c r="AP40" s="7"/>
      <c r="AQ40" s="3"/>
      <c r="AR40" s="3"/>
    </row>
    <row r="41" spans="1:44" s="1" customFormat="1">
      <c r="A41" s="259" t="s">
        <v>599</v>
      </c>
      <c r="B41" s="259">
        <f>O20</f>
        <v>1</v>
      </c>
      <c r="C41" s="259">
        <f>Y20</f>
        <v>0</v>
      </c>
      <c r="D41" s="266">
        <f>B41*C41/100</f>
        <v>0</v>
      </c>
      <c r="E41" s="259">
        <f>Z20</f>
        <v>0</v>
      </c>
      <c r="F41" s="266">
        <f>B41*E41/100</f>
        <v>0</v>
      </c>
      <c r="G41" s="259">
        <f>AA20</f>
        <v>0</v>
      </c>
      <c r="H41" s="266">
        <f>B41*G41/100</f>
        <v>0</v>
      </c>
      <c r="I41" s="260"/>
      <c r="J41" s="260"/>
      <c r="K41" s="260"/>
      <c r="L41" s="260"/>
      <c r="M41" s="261"/>
      <c r="N41" s="259">
        <f>AB20</f>
        <v>0</v>
      </c>
      <c r="O41" s="266">
        <f>B41*N41/100</f>
        <v>0</v>
      </c>
      <c r="P41" s="3"/>
      <c r="Q41" s="3"/>
      <c r="R41" s="3"/>
      <c r="S41" s="3"/>
      <c r="T41" s="3"/>
      <c r="U41" s="3"/>
      <c r="V41" s="3"/>
      <c r="W41" s="7"/>
      <c r="X41" s="7"/>
      <c r="Y41" s="7"/>
      <c r="Z41" s="7"/>
      <c r="AA41" s="7"/>
      <c r="AB41" s="7"/>
      <c r="AC41" s="7"/>
      <c r="AD41" s="7"/>
      <c r="AE41" s="7"/>
      <c r="AF41" s="7"/>
      <c r="AG41" s="7"/>
      <c r="AH41" s="7"/>
      <c r="AI41" s="7"/>
      <c r="AJ41" s="7"/>
      <c r="AK41" s="7"/>
      <c r="AL41" s="7"/>
      <c r="AM41" s="7"/>
      <c r="AN41" s="7"/>
      <c r="AO41" s="7"/>
      <c r="AP41" s="7"/>
      <c r="AQ41" s="3"/>
      <c r="AR41" s="3"/>
    </row>
    <row r="42" spans="1:44" s="1" customFormat="1">
      <c r="A42" s="259" t="s">
        <v>18</v>
      </c>
      <c r="B42" s="259">
        <f>O21</f>
        <v>100</v>
      </c>
      <c r="C42" s="266">
        <f>Y21</f>
        <v>0</v>
      </c>
      <c r="D42" s="266">
        <f>B42*C42/100</f>
        <v>0</v>
      </c>
      <c r="E42" s="266">
        <f>Z21</f>
        <v>0</v>
      </c>
      <c r="F42" s="266">
        <f>B42*E42/100</f>
        <v>0</v>
      </c>
      <c r="G42" s="266">
        <f>AA21</f>
        <v>0</v>
      </c>
      <c r="H42" s="266">
        <f>B42*G42/100</f>
        <v>0</v>
      </c>
      <c r="I42" s="260"/>
      <c r="J42" s="260"/>
      <c r="K42" s="260"/>
      <c r="L42" s="260"/>
      <c r="M42" s="261"/>
      <c r="N42" s="266">
        <f>AB21</f>
        <v>0</v>
      </c>
      <c r="O42" s="259"/>
      <c r="P42" s="3"/>
      <c r="Q42" s="3"/>
      <c r="R42" s="3"/>
      <c r="S42" s="3"/>
      <c r="T42" s="3"/>
      <c r="U42" s="3"/>
      <c r="V42" s="3"/>
      <c r="W42" s="7"/>
      <c r="X42" s="7"/>
      <c r="Y42" s="7"/>
      <c r="Z42" s="7"/>
      <c r="AA42" s="7"/>
      <c r="AB42" s="7"/>
      <c r="AC42" s="7"/>
      <c r="AD42" s="7"/>
      <c r="AE42" s="7"/>
      <c r="AF42" s="7"/>
      <c r="AG42" s="7"/>
      <c r="AH42" s="7"/>
      <c r="AI42" s="7"/>
      <c r="AJ42" s="7"/>
      <c r="AK42" s="7"/>
      <c r="AL42" s="7"/>
      <c r="AM42" s="7"/>
      <c r="AN42" s="7"/>
      <c r="AO42" s="7"/>
      <c r="AP42" s="7"/>
      <c r="AQ42" s="3"/>
      <c r="AR42" s="3"/>
    </row>
    <row r="43" spans="1:44" s="1" customFormat="1">
      <c r="A43" s="3"/>
      <c r="B43" s="3"/>
      <c r="C43" s="3"/>
      <c r="D43" s="3"/>
      <c r="E43" s="3"/>
      <c r="F43" s="3"/>
      <c r="G43" s="3"/>
      <c r="H43" s="3"/>
      <c r="M43" s="5"/>
      <c r="N43" s="3"/>
      <c r="O43" s="3"/>
      <c r="P43" s="3"/>
      <c r="Q43" s="3"/>
      <c r="R43" s="3"/>
      <c r="S43" s="3"/>
      <c r="T43" s="3"/>
      <c r="U43" s="3"/>
      <c r="V43" s="3"/>
      <c r="W43" s="7"/>
      <c r="X43" s="7"/>
      <c r="Y43" s="7"/>
      <c r="Z43" s="7"/>
      <c r="AA43" s="7"/>
      <c r="AB43" s="7"/>
      <c r="AC43" s="7"/>
      <c r="AD43" s="7"/>
      <c r="AE43" s="7"/>
      <c r="AF43" s="7"/>
      <c r="AG43" s="7"/>
      <c r="AH43" s="7"/>
      <c r="AI43" s="7"/>
      <c r="AJ43" s="7"/>
      <c r="AK43" s="7"/>
      <c r="AL43" s="7"/>
      <c r="AM43" s="7"/>
      <c r="AN43" s="7"/>
      <c r="AO43" s="7"/>
      <c r="AP43" s="7"/>
      <c r="AQ43" s="3"/>
      <c r="AR43" s="3"/>
    </row>
    <row r="44" spans="1:44" s="1" customFormat="1" ht="15">
      <c r="A44" s="988" t="s">
        <v>604</v>
      </c>
      <c r="B44" s="988"/>
      <c r="C44" s="988"/>
      <c r="D44" s="988"/>
      <c r="E44" s="988"/>
      <c r="F44" s="988"/>
      <c r="G44" s="988"/>
      <c r="H44" s="988"/>
      <c r="I44" s="988"/>
      <c r="J44" s="988"/>
      <c r="K44" s="988"/>
      <c r="L44" s="988"/>
      <c r="M44" s="988"/>
      <c r="N44" s="988"/>
      <c r="O44" s="3"/>
      <c r="P44" s="3"/>
      <c r="Q44" s="3"/>
      <c r="R44" s="3"/>
      <c r="S44" s="3"/>
      <c r="T44" s="3"/>
      <c r="U44" s="3"/>
      <c r="V44" s="3"/>
      <c r="W44" s="7"/>
      <c r="X44" s="7"/>
      <c r="Y44" s="7"/>
      <c r="Z44" s="7"/>
      <c r="AA44" s="7"/>
      <c r="AB44" s="7"/>
      <c r="AC44" s="7"/>
      <c r="AD44" s="7"/>
      <c r="AE44" s="7"/>
      <c r="AF44" s="7"/>
      <c r="AG44" s="7"/>
      <c r="AH44" s="7"/>
      <c r="AI44" s="7"/>
      <c r="AJ44" s="7"/>
      <c r="AK44" s="7"/>
      <c r="AL44" s="7"/>
      <c r="AM44" s="7"/>
      <c r="AN44" s="7"/>
      <c r="AO44" s="7"/>
      <c r="AP44" s="7"/>
      <c r="AQ44" s="3"/>
      <c r="AR44" s="3"/>
    </row>
    <row r="45" spans="1:44" s="1" customFormat="1" ht="45">
      <c r="A45" s="267" t="s">
        <v>593</v>
      </c>
      <c r="B45" s="267" t="s">
        <v>594</v>
      </c>
      <c r="C45" s="267" t="s">
        <v>589</v>
      </c>
      <c r="D45" s="267" t="s">
        <v>595</v>
      </c>
      <c r="E45" s="267" t="s">
        <v>589</v>
      </c>
      <c r="F45" s="267" t="s">
        <v>596</v>
      </c>
      <c r="G45" s="267" t="s">
        <v>589</v>
      </c>
      <c r="H45" s="267" t="s">
        <v>597</v>
      </c>
      <c r="I45" s="268"/>
      <c r="J45" s="268"/>
      <c r="K45" s="268"/>
      <c r="L45" s="268"/>
      <c r="M45" s="267" t="s">
        <v>597</v>
      </c>
      <c r="N45" s="267" t="s">
        <v>589</v>
      </c>
      <c r="O45" s="3"/>
      <c r="P45" s="3"/>
      <c r="Q45" s="3"/>
      <c r="R45" s="3"/>
      <c r="S45" s="3"/>
      <c r="T45" s="3"/>
      <c r="U45" s="3"/>
      <c r="V45" s="3"/>
      <c r="W45" s="7"/>
      <c r="X45" s="7"/>
      <c r="Y45" s="7"/>
      <c r="Z45" s="7"/>
      <c r="AA45" s="7"/>
      <c r="AB45" s="7"/>
      <c r="AC45" s="7"/>
      <c r="AD45" s="7"/>
      <c r="AE45" s="7"/>
      <c r="AF45" s="7"/>
      <c r="AG45" s="7"/>
      <c r="AH45" s="7"/>
      <c r="AI45" s="7"/>
      <c r="AJ45" s="7"/>
      <c r="AK45" s="7"/>
      <c r="AL45" s="7"/>
      <c r="AM45" s="7"/>
      <c r="AN45" s="7"/>
      <c r="AO45" s="7"/>
      <c r="AP45" s="7"/>
      <c r="AQ45" s="3"/>
      <c r="AR45" s="3"/>
    </row>
    <row r="46" spans="1:44" s="1" customFormat="1" ht="15">
      <c r="A46" s="272">
        <f>X20</f>
        <v>564380268.64031994</v>
      </c>
      <c r="B46" s="272">
        <f>AC25</f>
        <v>299033062.79999995</v>
      </c>
      <c r="C46" s="311">
        <f>A46*B46/100</f>
        <v>1687683603154016.3</v>
      </c>
      <c r="D46" s="272">
        <f>AD20</f>
        <v>80832160.400000006</v>
      </c>
      <c r="E46" s="312">
        <f>A46*D46/100</f>
        <v>456200764013294.31</v>
      </c>
      <c r="F46" s="272">
        <f>AE25</f>
        <v>0</v>
      </c>
      <c r="G46" s="312">
        <f>A46*F46/100</f>
        <v>0</v>
      </c>
      <c r="H46" s="272">
        <f>AF25</f>
        <v>0</v>
      </c>
      <c r="I46" s="273"/>
      <c r="J46" s="273"/>
      <c r="K46" s="273"/>
      <c r="L46" s="273"/>
      <c r="M46" s="276">
        <f>AE22</f>
        <v>0</v>
      </c>
      <c r="N46" s="312">
        <f>A46*H46/100</f>
        <v>0</v>
      </c>
      <c r="O46" s="3"/>
      <c r="P46" s="3"/>
      <c r="Q46" s="3"/>
      <c r="R46" s="3"/>
      <c r="S46" s="3"/>
      <c r="T46" s="3"/>
      <c r="U46" s="3"/>
      <c r="V46" s="3"/>
      <c r="W46" s="7"/>
      <c r="X46" s="7"/>
      <c r="Y46" s="7"/>
      <c r="Z46" s="7"/>
      <c r="AA46" s="7"/>
      <c r="AB46" s="7"/>
      <c r="AC46" s="7"/>
      <c r="AD46" s="7"/>
      <c r="AE46" s="7"/>
      <c r="AF46" s="7"/>
      <c r="AG46" s="7"/>
      <c r="AH46" s="7"/>
      <c r="AI46" s="7"/>
      <c r="AJ46" s="7"/>
      <c r="AK46" s="7"/>
      <c r="AL46" s="7"/>
      <c r="AM46" s="7"/>
      <c r="AN46" s="7"/>
      <c r="AO46" s="7"/>
      <c r="AP46" s="7"/>
      <c r="AQ46" s="3"/>
      <c r="AR46" s="3"/>
    </row>
    <row r="47" spans="1:44" s="1" customFormat="1">
      <c r="A47" s="259"/>
      <c r="B47" s="259"/>
      <c r="C47" s="259"/>
      <c r="D47" s="259"/>
      <c r="E47" s="259"/>
      <c r="F47" s="259"/>
      <c r="G47" s="259"/>
      <c r="H47" s="259"/>
      <c r="I47" s="260"/>
      <c r="J47" s="260"/>
      <c r="K47" s="260"/>
      <c r="L47" s="260"/>
      <c r="M47" s="261"/>
      <c r="N47" s="259"/>
      <c r="O47" s="3"/>
      <c r="P47" s="3"/>
      <c r="Q47" s="3"/>
      <c r="R47" s="3"/>
      <c r="S47" s="3"/>
      <c r="T47" s="3"/>
      <c r="U47" s="3"/>
      <c r="V47" s="3"/>
      <c r="W47" s="7"/>
      <c r="X47" s="7"/>
      <c r="Y47" s="7"/>
      <c r="Z47" s="7"/>
      <c r="AA47" s="7"/>
      <c r="AB47" s="7"/>
      <c r="AC47" s="7"/>
      <c r="AD47" s="7"/>
      <c r="AE47" s="7"/>
      <c r="AF47" s="7"/>
      <c r="AG47" s="7"/>
      <c r="AH47" s="7"/>
      <c r="AI47" s="7"/>
      <c r="AJ47" s="7"/>
      <c r="AK47" s="7"/>
      <c r="AL47" s="7"/>
      <c r="AM47" s="7"/>
      <c r="AN47" s="7"/>
      <c r="AO47" s="7"/>
      <c r="AP47" s="7"/>
      <c r="AQ47" s="3"/>
      <c r="AR47" s="3"/>
    </row>
    <row r="48" spans="1:44" s="1" customFormat="1">
      <c r="A48" s="3"/>
      <c r="B48" s="3"/>
      <c r="C48" s="3"/>
      <c r="D48" s="3"/>
      <c r="E48" s="3"/>
      <c r="F48" s="3"/>
      <c r="G48" s="3"/>
      <c r="H48" s="3"/>
      <c r="M48" s="5"/>
      <c r="N48" s="3"/>
      <c r="O48" s="3"/>
      <c r="P48" s="3"/>
      <c r="Q48" s="3"/>
      <c r="R48" s="3"/>
      <c r="S48" s="3"/>
      <c r="T48" s="3"/>
      <c r="U48" s="3"/>
      <c r="V48" s="3"/>
      <c r="W48" s="7"/>
      <c r="X48" s="7"/>
      <c r="Y48" s="7"/>
      <c r="Z48" s="7"/>
      <c r="AA48" s="7"/>
      <c r="AB48" s="7"/>
      <c r="AC48" s="7"/>
      <c r="AD48" s="7"/>
      <c r="AE48" s="7"/>
      <c r="AF48" s="7"/>
      <c r="AG48" s="7"/>
      <c r="AH48" s="7"/>
      <c r="AI48" s="7"/>
      <c r="AJ48" s="7"/>
      <c r="AK48" s="7"/>
      <c r="AL48" s="7"/>
      <c r="AM48" s="7"/>
      <c r="AN48" s="7"/>
      <c r="AO48" s="7"/>
      <c r="AP48" s="7"/>
      <c r="AQ48" s="3"/>
      <c r="AR48" s="3"/>
    </row>
    <row r="49" spans="1:44" s="1" customFormat="1" ht="15">
      <c r="A49" s="987" t="s">
        <v>605</v>
      </c>
      <c r="B49" s="987"/>
      <c r="C49" s="987"/>
      <c r="D49" s="987"/>
      <c r="E49" s="987"/>
      <c r="F49" s="987"/>
      <c r="G49" s="987"/>
      <c r="H49" s="987"/>
      <c r="I49" s="987"/>
      <c r="J49" s="987"/>
      <c r="K49" s="987"/>
      <c r="L49" s="987"/>
      <c r="M49" s="987"/>
      <c r="N49" s="987"/>
      <c r="O49" s="987"/>
      <c r="P49" s="3"/>
      <c r="Q49" s="3"/>
      <c r="R49" s="3"/>
      <c r="S49" s="3"/>
      <c r="T49" s="3"/>
      <c r="U49" s="3"/>
      <c r="V49" s="3"/>
      <c r="W49" s="7"/>
      <c r="X49" s="7"/>
      <c r="Y49" s="7"/>
      <c r="Z49" s="7"/>
      <c r="AA49" s="7"/>
      <c r="AB49" s="7"/>
      <c r="AC49" s="7"/>
      <c r="AD49" s="7"/>
      <c r="AE49" s="7"/>
      <c r="AF49" s="7"/>
      <c r="AG49" s="7"/>
      <c r="AH49" s="7"/>
      <c r="AI49" s="7"/>
      <c r="AJ49" s="7"/>
      <c r="AK49" s="7"/>
      <c r="AL49" s="7"/>
      <c r="AM49" s="7"/>
      <c r="AN49" s="7"/>
      <c r="AO49" s="7"/>
      <c r="AP49" s="7"/>
      <c r="AQ49" s="3"/>
      <c r="AR49" s="3"/>
    </row>
    <row r="50" spans="1:44" s="1" customFormat="1" ht="60">
      <c r="A50" s="269" t="s">
        <v>598</v>
      </c>
      <c r="B50" s="270" t="s">
        <v>587</v>
      </c>
      <c r="C50" s="270" t="s">
        <v>588</v>
      </c>
      <c r="D50" s="270" t="s">
        <v>589</v>
      </c>
      <c r="E50" s="270" t="s">
        <v>590</v>
      </c>
      <c r="F50" s="270" t="s">
        <v>589</v>
      </c>
      <c r="G50" s="270" t="s">
        <v>591</v>
      </c>
      <c r="H50" s="270" t="s">
        <v>589</v>
      </c>
      <c r="I50" s="270"/>
      <c r="J50" s="271"/>
      <c r="K50" s="271"/>
      <c r="L50" s="271"/>
      <c r="M50" s="270" t="s">
        <v>589</v>
      </c>
      <c r="N50" s="270" t="s">
        <v>592</v>
      </c>
      <c r="O50" s="270" t="s">
        <v>589</v>
      </c>
      <c r="P50" s="3"/>
      <c r="Q50" s="3"/>
      <c r="R50" s="3"/>
      <c r="S50" s="3"/>
      <c r="T50" s="3"/>
      <c r="U50" s="3"/>
      <c r="V50" s="3"/>
      <c r="W50" s="7"/>
      <c r="X50" s="7"/>
      <c r="Y50" s="7"/>
      <c r="Z50" s="7"/>
      <c r="AA50" s="7"/>
      <c r="AB50" s="7"/>
      <c r="AC50" s="7"/>
      <c r="AD50" s="7"/>
      <c r="AE50" s="7"/>
      <c r="AF50" s="7"/>
      <c r="AG50" s="7"/>
      <c r="AH50" s="7"/>
      <c r="AI50" s="7"/>
      <c r="AJ50" s="7"/>
      <c r="AK50" s="7"/>
      <c r="AL50" s="7"/>
      <c r="AM50" s="7"/>
      <c r="AN50" s="7"/>
      <c r="AO50" s="7"/>
      <c r="AP50" s="7"/>
      <c r="AQ50" s="3"/>
      <c r="AR50" s="3"/>
    </row>
    <row r="51" spans="1:44" s="1" customFormat="1">
      <c r="A51" s="259" t="s">
        <v>599</v>
      </c>
      <c r="B51" s="259">
        <f>O25</f>
        <v>1</v>
      </c>
      <c r="C51" s="259">
        <f>Y25</f>
        <v>0</v>
      </c>
      <c r="D51" s="266">
        <f>B51*C51/100</f>
        <v>0</v>
      </c>
      <c r="E51" s="259">
        <f>Z25</f>
        <v>0</v>
      </c>
      <c r="F51" s="266">
        <f>B51*E51/100</f>
        <v>0</v>
      </c>
      <c r="G51" s="259">
        <f>AA25</f>
        <v>0</v>
      </c>
      <c r="H51" s="266">
        <f>B51*G51/100</f>
        <v>0</v>
      </c>
      <c r="I51" s="260"/>
      <c r="J51" s="260"/>
      <c r="K51" s="260"/>
      <c r="L51" s="260"/>
      <c r="M51" s="261"/>
      <c r="N51" s="259">
        <f>AB25</f>
        <v>0</v>
      </c>
      <c r="O51" s="266">
        <f>B51*N51/100</f>
        <v>0</v>
      </c>
      <c r="P51" s="3"/>
      <c r="Q51" s="3"/>
      <c r="R51" s="3"/>
      <c r="S51" s="3"/>
      <c r="T51" s="3"/>
      <c r="U51" s="3"/>
      <c r="V51" s="3"/>
      <c r="W51" s="7"/>
      <c r="X51" s="7"/>
      <c r="Y51" s="7"/>
      <c r="Z51" s="7"/>
      <c r="AA51" s="7"/>
      <c r="AB51" s="7"/>
      <c r="AC51" s="7"/>
      <c r="AD51" s="7"/>
      <c r="AE51" s="7"/>
      <c r="AF51" s="7"/>
      <c r="AG51" s="7"/>
      <c r="AH51" s="7"/>
      <c r="AI51" s="7"/>
      <c r="AJ51" s="7"/>
      <c r="AK51" s="7"/>
      <c r="AL51" s="7"/>
      <c r="AM51" s="7"/>
      <c r="AN51" s="7"/>
      <c r="AO51" s="7"/>
      <c r="AP51" s="7"/>
      <c r="AQ51" s="3"/>
      <c r="AR51" s="3"/>
    </row>
    <row r="52" spans="1:44">
      <c r="A52" s="259" t="s">
        <v>18</v>
      </c>
      <c r="B52" s="259">
        <f>O26</f>
        <v>100</v>
      </c>
      <c r="C52" s="266">
        <f>Y26</f>
        <v>0</v>
      </c>
      <c r="D52" s="266">
        <f>B52*C52/100</f>
        <v>0</v>
      </c>
      <c r="E52" s="266">
        <f>Z26</f>
        <v>0</v>
      </c>
      <c r="F52" s="266">
        <f>B52*E52/100</f>
        <v>0</v>
      </c>
      <c r="G52" s="259">
        <f>AA26</f>
        <v>0</v>
      </c>
      <c r="H52" s="266">
        <f>B52*G52/100</f>
        <v>0</v>
      </c>
      <c r="I52" s="260"/>
      <c r="J52" s="260"/>
      <c r="K52" s="260"/>
      <c r="L52" s="260"/>
      <c r="M52" s="261"/>
      <c r="N52" s="259">
        <f>AB26</f>
        <v>0</v>
      </c>
      <c r="O52" s="266">
        <f>B52*N52/100</f>
        <v>0</v>
      </c>
    </row>
    <row r="53" spans="1:44">
      <c r="I53" s="1"/>
      <c r="J53" s="1"/>
      <c r="K53" s="1"/>
      <c r="L53" s="1"/>
      <c r="M53" s="5"/>
      <c r="N53" s="3"/>
    </row>
    <row r="54" spans="1:44" ht="15">
      <c r="A54" s="988" t="s">
        <v>606</v>
      </c>
      <c r="B54" s="988"/>
      <c r="C54" s="988"/>
      <c r="D54" s="988"/>
      <c r="E54" s="988"/>
      <c r="F54" s="988"/>
      <c r="G54" s="988"/>
      <c r="H54" s="988"/>
      <c r="I54" s="988"/>
      <c r="J54" s="988"/>
      <c r="K54" s="988"/>
      <c r="L54" s="988"/>
      <c r="M54" s="988"/>
      <c r="N54" s="988"/>
    </row>
    <row r="55" spans="1:44" ht="45">
      <c r="A55" s="267" t="s">
        <v>593</v>
      </c>
      <c r="B55" s="267" t="s">
        <v>594</v>
      </c>
      <c r="C55" s="267" t="s">
        <v>589</v>
      </c>
      <c r="D55" s="267" t="s">
        <v>595</v>
      </c>
      <c r="E55" s="267" t="s">
        <v>589</v>
      </c>
      <c r="F55" s="267" t="s">
        <v>596</v>
      </c>
      <c r="G55" s="267" t="s">
        <v>589</v>
      </c>
      <c r="H55" s="267" t="s">
        <v>597</v>
      </c>
      <c r="I55" s="268"/>
      <c r="J55" s="268"/>
      <c r="K55" s="268"/>
      <c r="L55" s="268"/>
      <c r="M55" s="267" t="s">
        <v>597</v>
      </c>
      <c r="N55" s="267" t="s">
        <v>589</v>
      </c>
    </row>
    <row r="56" spans="1:44">
      <c r="A56" s="263">
        <f>X25</f>
        <v>1464246070.2134399</v>
      </c>
      <c r="B56" s="263">
        <f>AC25</f>
        <v>299033062.79999995</v>
      </c>
      <c r="C56" s="266">
        <f>A56*B56/100</f>
        <v>4378579870687887.5</v>
      </c>
      <c r="D56" s="263">
        <f>AD25</f>
        <v>641286705.79999995</v>
      </c>
      <c r="E56" s="266">
        <f>A56*D56/100</f>
        <v>9390015388477722</v>
      </c>
      <c r="F56" s="263">
        <f>AE25</f>
        <v>0</v>
      </c>
      <c r="G56" s="266">
        <f>A56*F56/100</f>
        <v>0</v>
      </c>
      <c r="H56" s="263">
        <f>AF25</f>
        <v>0</v>
      </c>
      <c r="I56" s="260"/>
      <c r="J56" s="260"/>
      <c r="K56" s="260"/>
      <c r="L56" s="260"/>
      <c r="M56" s="275">
        <f>AE27</f>
        <v>0</v>
      </c>
      <c r="N56" s="266">
        <f>A56*H56/100</f>
        <v>0</v>
      </c>
    </row>
    <row r="57" spans="1:44">
      <c r="A57" s="259"/>
      <c r="B57" s="259"/>
      <c r="C57" s="259"/>
      <c r="D57" s="259"/>
      <c r="E57" s="259"/>
      <c r="F57" s="259"/>
      <c r="G57" s="259"/>
      <c r="H57" s="259"/>
      <c r="I57" s="260"/>
      <c r="J57" s="260"/>
      <c r="K57" s="260"/>
      <c r="L57" s="260"/>
      <c r="M57" s="261"/>
      <c r="N57" s="259"/>
    </row>
    <row r="58" spans="1:44">
      <c r="I58" s="2"/>
      <c r="M58" s="5"/>
      <c r="N58" s="3"/>
    </row>
    <row r="59" spans="1:44">
      <c r="I59" s="2"/>
      <c r="M59" s="5"/>
      <c r="N59" s="3"/>
    </row>
    <row r="60" spans="1:44">
      <c r="I60" s="2"/>
      <c r="M60" s="5"/>
      <c r="N60" s="3"/>
    </row>
    <row r="61" spans="1:44" ht="15">
      <c r="A61" s="987" t="s">
        <v>636</v>
      </c>
      <c r="B61" s="987"/>
      <c r="C61" s="987"/>
      <c r="D61" s="987"/>
      <c r="E61" s="987"/>
      <c r="F61" s="987"/>
      <c r="G61" s="987"/>
      <c r="H61" s="987"/>
      <c r="I61" s="987"/>
      <c r="J61" s="987"/>
      <c r="K61" s="987"/>
      <c r="L61" s="987"/>
      <c r="M61" s="987"/>
      <c r="N61" s="987"/>
      <c r="O61" s="987"/>
    </row>
    <row r="62" spans="1:44" ht="60">
      <c r="A62" s="269" t="s">
        <v>598</v>
      </c>
      <c r="B62" s="270" t="s">
        <v>587</v>
      </c>
      <c r="C62" s="270" t="s">
        <v>588</v>
      </c>
      <c r="D62" s="270" t="s">
        <v>589</v>
      </c>
      <c r="E62" s="270" t="s">
        <v>590</v>
      </c>
      <c r="F62" s="270" t="s">
        <v>589</v>
      </c>
      <c r="G62" s="270" t="s">
        <v>591</v>
      </c>
      <c r="H62" s="270" t="s">
        <v>589</v>
      </c>
      <c r="I62" s="270"/>
      <c r="J62" s="271"/>
      <c r="K62" s="271"/>
      <c r="L62" s="271"/>
      <c r="M62" s="271"/>
      <c r="N62" s="270" t="s">
        <v>592</v>
      </c>
      <c r="O62" s="270" t="s">
        <v>589</v>
      </c>
    </row>
    <row r="63" spans="1:44">
      <c r="A63" s="259" t="s">
        <v>599</v>
      </c>
      <c r="B63" s="259">
        <f>B51+B41+B32</f>
        <v>158</v>
      </c>
      <c r="C63" s="259">
        <f>C51+C41+C32</f>
        <v>0</v>
      </c>
      <c r="D63" s="265">
        <f>B63*C63/100</f>
        <v>0</v>
      </c>
      <c r="E63" s="259">
        <f>E51+E41+E32</f>
        <v>0</v>
      </c>
      <c r="F63" s="266">
        <f>B63*E63/100</f>
        <v>0</v>
      </c>
      <c r="G63" s="259">
        <f>G51+G41+G32</f>
        <v>0</v>
      </c>
      <c r="H63" s="266">
        <f>B63*G63/100</f>
        <v>0</v>
      </c>
      <c r="I63" s="260"/>
      <c r="J63" s="260"/>
      <c r="K63" s="260"/>
      <c r="L63" s="260"/>
      <c r="M63" s="261"/>
      <c r="N63" s="259">
        <f>N51+N41+N32</f>
        <v>0</v>
      </c>
      <c r="O63" s="266">
        <f>B63*N63/100</f>
        <v>0</v>
      </c>
    </row>
    <row r="64" spans="1:44">
      <c r="A64" s="259" t="s">
        <v>18</v>
      </c>
      <c r="B64" s="266">
        <v>1</v>
      </c>
      <c r="C64" s="266">
        <f>C52+C42+C33</f>
        <v>0</v>
      </c>
      <c r="D64" s="266">
        <f>B64*C64/100</f>
        <v>0</v>
      </c>
      <c r="E64" s="266">
        <f>E52+E42+E33</f>
        <v>0</v>
      </c>
      <c r="F64" s="266">
        <f>B64*E64/100</f>
        <v>0</v>
      </c>
      <c r="G64" s="266">
        <f>G52+G42+G33</f>
        <v>0</v>
      </c>
      <c r="H64" s="266">
        <f>B64*G64/100</f>
        <v>0</v>
      </c>
      <c r="I64" s="260"/>
      <c r="J64" s="260"/>
      <c r="K64" s="260"/>
      <c r="L64" s="260"/>
      <c r="M64" s="261"/>
      <c r="N64" s="266">
        <f>N52+N42+N33</f>
        <v>0</v>
      </c>
      <c r="O64" s="266">
        <f>B64*N64/100</f>
        <v>0</v>
      </c>
    </row>
    <row r="65" spans="1:14">
      <c r="I65" s="1"/>
      <c r="J65" s="1"/>
      <c r="K65" s="1"/>
      <c r="L65" s="1"/>
      <c r="M65" s="5"/>
      <c r="N65" s="3"/>
    </row>
    <row r="66" spans="1:14" ht="15">
      <c r="A66" s="988" t="s">
        <v>637</v>
      </c>
      <c r="B66" s="988"/>
      <c r="C66" s="988"/>
      <c r="D66" s="988"/>
      <c r="E66" s="988"/>
      <c r="F66" s="988"/>
      <c r="G66" s="988"/>
      <c r="H66" s="988"/>
      <c r="I66" s="988"/>
      <c r="J66" s="988"/>
      <c r="K66" s="988"/>
      <c r="L66" s="988"/>
      <c r="M66" s="988"/>
      <c r="N66" s="988"/>
    </row>
    <row r="67" spans="1:14" ht="45">
      <c r="A67" s="267" t="s">
        <v>593</v>
      </c>
      <c r="B67" s="267" t="s">
        <v>594</v>
      </c>
      <c r="C67" s="267" t="s">
        <v>589</v>
      </c>
      <c r="D67" s="267" t="s">
        <v>595</v>
      </c>
      <c r="E67" s="267" t="s">
        <v>589</v>
      </c>
      <c r="F67" s="267" t="s">
        <v>596</v>
      </c>
      <c r="G67" s="267" t="s">
        <v>589</v>
      </c>
      <c r="H67" s="267" t="s">
        <v>597</v>
      </c>
      <c r="I67" s="268"/>
      <c r="J67" s="268"/>
      <c r="K67" s="268"/>
      <c r="L67" s="268"/>
      <c r="M67" s="267" t="s">
        <v>597</v>
      </c>
      <c r="N67" s="267" t="s">
        <v>589</v>
      </c>
    </row>
    <row r="68" spans="1:14">
      <c r="A68" s="263">
        <f>A56+A46+A36</f>
        <v>2100195606.0671997</v>
      </c>
      <c r="B68" s="263">
        <f>B56+B46+B36</f>
        <v>623402330.39999986</v>
      </c>
      <c r="C68" s="264">
        <f>A68*B68/100</f>
        <v>1.3092668351181324E+16</v>
      </c>
      <c r="D68" s="263">
        <f>D56+D46+D36</f>
        <v>747455070.99999988</v>
      </c>
      <c r="E68" s="266">
        <f>A68*D68/100</f>
        <v>1.5698018558468464E+16</v>
      </c>
      <c r="F68" s="263">
        <f>F56+F46+F36</f>
        <v>0</v>
      </c>
      <c r="G68" s="266">
        <f>A68*F68/100</f>
        <v>0</v>
      </c>
      <c r="H68" s="263">
        <f>H56+H46+H36</f>
        <v>0</v>
      </c>
      <c r="I68" s="260"/>
      <c r="J68" s="260"/>
      <c r="K68" s="260"/>
      <c r="L68" s="260"/>
      <c r="M68" s="275">
        <f>M56+M46+M36</f>
        <v>0</v>
      </c>
      <c r="N68" s="266">
        <f>A68*H68/100</f>
        <v>0</v>
      </c>
    </row>
    <row r="69" spans="1:14">
      <c r="A69" s="259"/>
      <c r="B69" s="259"/>
      <c r="C69" s="259"/>
      <c r="D69" s="259"/>
      <c r="E69" s="259"/>
      <c r="F69" s="259"/>
      <c r="G69" s="259"/>
      <c r="H69" s="259"/>
      <c r="I69" s="260"/>
      <c r="J69" s="260"/>
      <c r="K69" s="260"/>
      <c r="L69" s="260"/>
      <c r="M69" s="261"/>
      <c r="N69" s="259"/>
    </row>
  </sheetData>
  <mergeCells count="69">
    <mergeCell ref="A1:AR1"/>
    <mergeCell ref="AT1:AX1"/>
    <mergeCell ref="A2:AR2"/>
    <mergeCell ref="W25:W26"/>
    <mergeCell ref="X25:X26"/>
    <mergeCell ref="AC25:AC26"/>
    <mergeCell ref="AD25:AD26"/>
    <mergeCell ref="AE25:AE26"/>
    <mergeCell ref="AF25:AF26"/>
    <mergeCell ref="AG25:AG26"/>
    <mergeCell ref="AH25:AH26"/>
    <mergeCell ref="AH20:AH21"/>
    <mergeCell ref="AG20:AG21"/>
    <mergeCell ref="AF20:AF21"/>
    <mergeCell ref="AE20:AE21"/>
    <mergeCell ref="AD20:AD21"/>
    <mergeCell ref="A5:AR5"/>
    <mergeCell ref="A6:B6"/>
    <mergeCell ref="C6:F6"/>
    <mergeCell ref="H6:K6"/>
    <mergeCell ref="L6:L7"/>
    <mergeCell ref="M6:M7"/>
    <mergeCell ref="N6:N7"/>
    <mergeCell ref="O6:O7"/>
    <mergeCell ref="P6:P7"/>
    <mergeCell ref="Q6:Q7"/>
    <mergeCell ref="AR6:AR7"/>
    <mergeCell ref="R6:R7"/>
    <mergeCell ref="S6:S7"/>
    <mergeCell ref="T6:T7"/>
    <mergeCell ref="U6:X6"/>
    <mergeCell ref="Y6:AE6"/>
    <mergeCell ref="AQ6:AQ7"/>
    <mergeCell ref="G8:G9"/>
    <mergeCell ref="AS8:AS24"/>
    <mergeCell ref="A11:A19"/>
    <mergeCell ref="B11:B19"/>
    <mergeCell ref="G11:G19"/>
    <mergeCell ref="C13:C19"/>
    <mergeCell ref="A20:N21"/>
    <mergeCell ref="AC20:AC21"/>
    <mergeCell ref="W20:W21"/>
    <mergeCell ref="X20:X21"/>
    <mergeCell ref="B3:AR3"/>
    <mergeCell ref="A4:AR4"/>
    <mergeCell ref="A10:N10"/>
    <mergeCell ref="A25:N26"/>
    <mergeCell ref="D13:D19"/>
    <mergeCell ref="E13:E19"/>
    <mergeCell ref="F13:F19"/>
    <mergeCell ref="M13:M19"/>
    <mergeCell ref="A22:A24"/>
    <mergeCell ref="B22:B24"/>
    <mergeCell ref="G22:G24"/>
    <mergeCell ref="M22:M24"/>
    <mergeCell ref="C23:C24"/>
    <mergeCell ref="D23:D24"/>
    <mergeCell ref="A8:A9"/>
    <mergeCell ref="B8:B9"/>
    <mergeCell ref="A54:N54"/>
    <mergeCell ref="A61:O61"/>
    <mergeCell ref="A66:N66"/>
    <mergeCell ref="E23:E24"/>
    <mergeCell ref="F23:F24"/>
    <mergeCell ref="A49:O49"/>
    <mergeCell ref="A44:N44"/>
    <mergeCell ref="A39:O39"/>
    <mergeCell ref="A30:O30"/>
    <mergeCell ref="A34:N34"/>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9DB8-4F93-44C9-84F0-48033007C92B}">
  <dimension ref="A1:P30"/>
  <sheetViews>
    <sheetView workbookViewId="0">
      <selection activeCell="B22" sqref="B22"/>
    </sheetView>
  </sheetViews>
  <sheetFormatPr baseColWidth="10" defaultRowHeight="15"/>
  <cols>
    <col min="1" max="1" width="16.28515625" customWidth="1"/>
    <col min="2" max="4" width="19.42578125" customWidth="1"/>
    <col min="5" max="6" width="21.7109375" customWidth="1"/>
    <col min="7" max="7" width="32.28515625" bestFit="1" customWidth="1"/>
    <col min="8" max="8" width="26.42578125" customWidth="1"/>
    <col min="9" max="9" width="29" bestFit="1" customWidth="1"/>
    <col min="10" max="10" width="25.85546875" bestFit="1" customWidth="1"/>
    <col min="11" max="11" width="27" bestFit="1" customWidth="1"/>
    <col min="12" max="15" width="19.140625" customWidth="1"/>
  </cols>
  <sheetData>
    <row r="1" spans="1:16">
      <c r="A1" s="1128" t="s">
        <v>655</v>
      </c>
      <c r="B1" s="1129"/>
      <c r="C1" s="1129"/>
      <c r="D1" s="1129"/>
      <c r="E1" s="1129"/>
      <c r="F1" s="1129"/>
      <c r="G1" s="1129"/>
      <c r="H1" s="1129"/>
      <c r="I1" s="1129"/>
      <c r="J1" s="1129"/>
      <c r="K1" s="1129"/>
      <c r="L1" s="1129"/>
      <c r="M1" s="1129"/>
      <c r="N1" s="1129"/>
      <c r="O1" s="1129"/>
      <c r="P1" s="1130"/>
    </row>
    <row r="2" spans="1:16" ht="15.75" thickBot="1">
      <c r="A2" s="1131"/>
      <c r="B2" s="1132"/>
      <c r="C2" s="1132"/>
      <c r="D2" s="1132"/>
      <c r="E2" s="1132"/>
      <c r="F2" s="1132"/>
      <c r="G2" s="1132"/>
      <c r="H2" s="1132"/>
      <c r="I2" s="1132"/>
      <c r="J2" s="1132"/>
      <c r="K2" s="1132"/>
      <c r="L2" s="1132"/>
      <c r="M2" s="1132"/>
      <c r="N2" s="1132"/>
      <c r="O2" s="1132"/>
      <c r="P2" s="1133"/>
    </row>
    <row r="3" spans="1:16">
      <c r="A3" s="1134" t="s">
        <v>656</v>
      </c>
      <c r="B3" s="1135"/>
      <c r="C3" s="1135"/>
      <c r="D3" s="1135"/>
      <c r="E3" s="1135"/>
      <c r="F3" s="1135"/>
      <c r="G3" s="1135"/>
      <c r="H3" s="1135"/>
      <c r="I3" s="1135"/>
      <c r="J3" s="1135"/>
      <c r="K3" s="1135"/>
      <c r="L3" s="1135"/>
      <c r="M3" s="1135"/>
      <c r="N3" s="1135"/>
      <c r="O3" s="1135"/>
      <c r="P3" s="1136"/>
    </row>
    <row r="4" spans="1:16">
      <c r="A4" s="1139" t="s">
        <v>639</v>
      </c>
      <c r="B4" s="957" t="s">
        <v>652</v>
      </c>
      <c r="C4" s="957"/>
      <c r="D4" s="957"/>
      <c r="E4" s="1140" t="s">
        <v>640</v>
      </c>
      <c r="F4" s="1140"/>
      <c r="G4" s="1140"/>
      <c r="H4" s="1125" t="s">
        <v>641</v>
      </c>
      <c r="I4" s="1126"/>
      <c r="J4" s="1142"/>
      <c r="K4" s="1140" t="s">
        <v>642</v>
      </c>
      <c r="L4" s="1140"/>
      <c r="M4" s="1140"/>
      <c r="N4" s="1125" t="s">
        <v>643</v>
      </c>
      <c r="O4" s="1126"/>
      <c r="P4" s="1127"/>
    </row>
    <row r="5" spans="1:16">
      <c r="A5" s="1139"/>
      <c r="B5" s="331" t="s">
        <v>599</v>
      </c>
      <c r="C5" s="331" t="s">
        <v>18</v>
      </c>
      <c r="D5" s="331" t="s">
        <v>86</v>
      </c>
      <c r="E5" s="331" t="s">
        <v>599</v>
      </c>
      <c r="F5" s="331" t="s">
        <v>18</v>
      </c>
      <c r="G5" s="331" t="s">
        <v>86</v>
      </c>
      <c r="H5" s="331" t="s">
        <v>599</v>
      </c>
      <c r="I5" s="331" t="s">
        <v>18</v>
      </c>
      <c r="J5" s="331" t="s">
        <v>86</v>
      </c>
      <c r="K5" s="331" t="s">
        <v>599</v>
      </c>
      <c r="L5" s="331" t="s">
        <v>18</v>
      </c>
      <c r="M5" s="331" t="s">
        <v>86</v>
      </c>
      <c r="N5" s="331" t="s">
        <v>599</v>
      </c>
      <c r="O5" s="332" t="s">
        <v>18</v>
      </c>
      <c r="P5" s="334" t="s">
        <v>86</v>
      </c>
    </row>
    <row r="6" spans="1:16">
      <c r="A6" s="333" t="s">
        <v>644</v>
      </c>
      <c r="B6" s="340">
        <f>'LINEA 1	SEGUIMIENTO DEL PLAN OP'!B59</f>
        <v>51</v>
      </c>
      <c r="C6" s="339">
        <f>'LINEA 1	SEGUIMIENTO DEL PLAN OP'!B60</f>
        <v>1</v>
      </c>
      <c r="D6" s="349">
        <v>0</v>
      </c>
      <c r="E6" s="330">
        <f>'LINEA 1	SEGUIMIENTO DEL PLAN OP'!C59</f>
        <v>0</v>
      </c>
      <c r="F6" s="337">
        <f>'LINEA 1	SEGUIMIENTO DEL PLAN OP'!C60</f>
        <v>0</v>
      </c>
      <c r="G6" s="349">
        <v>0</v>
      </c>
      <c r="H6" s="330">
        <f>'LINEA 1	SEGUIMIENTO DEL PLAN OP'!E59</f>
        <v>0</v>
      </c>
      <c r="I6" s="338">
        <f>'LINEA 1	SEGUIMIENTO DEL PLAN OP'!E60</f>
        <v>0</v>
      </c>
      <c r="J6" s="349">
        <v>0</v>
      </c>
      <c r="K6" s="330">
        <f>'LINEA 1	SEGUIMIENTO DEL PLAN OP'!G59</f>
        <v>0</v>
      </c>
      <c r="L6" s="338">
        <f>'LINEA 1	SEGUIMIENTO DEL PLAN OP'!G60</f>
        <v>0</v>
      </c>
      <c r="M6" s="349">
        <v>0</v>
      </c>
      <c r="N6" s="330">
        <f>'LINEA 1	SEGUIMIENTO DEL PLAN OP'!N59</f>
        <v>0</v>
      </c>
      <c r="O6" s="342">
        <f>'LINEA 1	SEGUIMIENTO DEL PLAN OP'!N60</f>
        <v>0</v>
      </c>
      <c r="P6" s="353">
        <v>0</v>
      </c>
    </row>
    <row r="7" spans="1:16">
      <c r="A7" s="333" t="s">
        <v>645</v>
      </c>
      <c r="B7" s="340">
        <f>'LINEA 2 SEGUIMIENTO DEL POAI'!B77</f>
        <v>374</v>
      </c>
      <c r="C7" s="339">
        <f>'LINEA 2 SEGUIMIENTO DEL POAI'!B78</f>
        <v>1</v>
      </c>
      <c r="D7" s="349">
        <v>0</v>
      </c>
      <c r="E7" s="330">
        <f>'LINEA 2 SEGUIMIENTO DEL POAI'!C77</f>
        <v>0</v>
      </c>
      <c r="F7" s="337">
        <f>'LINEA 2 SEGUIMIENTO DEL POAI'!C78</f>
        <v>0</v>
      </c>
      <c r="G7" s="349">
        <v>0</v>
      </c>
      <c r="H7" s="330">
        <f>'LINEA 2 SEGUIMIENTO DEL POAI'!E77</f>
        <v>0</v>
      </c>
      <c r="I7" s="337">
        <f>'LINEA 2 SEGUIMIENTO DEL POAI'!E78</f>
        <v>0</v>
      </c>
      <c r="J7" s="349">
        <v>0</v>
      </c>
      <c r="K7" s="330">
        <f>'LINEA 2 SEGUIMIENTO DEL POAI'!G77</f>
        <v>0</v>
      </c>
      <c r="L7" s="337">
        <f>'LINEA 2 SEGUIMIENTO DEL POAI'!G78</f>
        <v>0</v>
      </c>
      <c r="M7" s="349">
        <v>0</v>
      </c>
      <c r="N7" s="330">
        <f>'LINEA 2 SEGUIMIENTO DEL POAI'!N77</f>
        <v>0</v>
      </c>
      <c r="O7" s="343">
        <f>'LINEA 2 SEGUIMIENTO DEL POAI'!N78</f>
        <v>0</v>
      </c>
      <c r="P7" s="353">
        <v>0</v>
      </c>
    </row>
    <row r="8" spans="1:16">
      <c r="A8" s="333" t="s">
        <v>646</v>
      </c>
      <c r="B8" s="341">
        <f>'LINEA3 SEGUIMIENTO DE POAI'!B99</f>
        <v>11289</v>
      </c>
      <c r="C8" s="339">
        <f>'LINEA3 SEGUIMIENTO DE POAI'!B100</f>
        <v>1</v>
      </c>
      <c r="D8" s="349">
        <v>0</v>
      </c>
      <c r="E8" s="330">
        <f>'LINEA3 SEGUIMIENTO DE POAI'!C99</f>
        <v>0</v>
      </c>
      <c r="F8" s="337">
        <f>'LINEA3 SEGUIMIENTO DE POAI'!C100</f>
        <v>0</v>
      </c>
      <c r="G8" s="349">
        <v>0</v>
      </c>
      <c r="H8" s="330">
        <f>'LINEA 2 SEGUIMIENTO DEL POAI'!E77</f>
        <v>0</v>
      </c>
      <c r="I8" s="337">
        <f>'LINEA 2 SEGUIMIENTO DEL POAI'!E78</f>
        <v>0</v>
      </c>
      <c r="J8" s="349">
        <v>0</v>
      </c>
      <c r="K8" s="330">
        <f>'LINEA 2 SEGUIMIENTO DEL POAI'!G77</f>
        <v>0</v>
      </c>
      <c r="L8" s="337">
        <f>'LINEA 2 SEGUIMIENTO DEL POAI'!G78</f>
        <v>0</v>
      </c>
      <c r="M8" s="349">
        <v>0</v>
      </c>
      <c r="N8" s="330">
        <f>'LINEA3 SEGUIMIENTO DE POAI'!N99</f>
        <v>0</v>
      </c>
      <c r="O8" s="343">
        <f>'LINEA3 SEGUIMIENTO DE POAI'!N100</f>
        <v>0</v>
      </c>
      <c r="P8" s="353">
        <v>0</v>
      </c>
    </row>
    <row r="9" spans="1:16">
      <c r="A9" s="333" t="s">
        <v>647</v>
      </c>
      <c r="B9" s="340">
        <f>'LINEA 4 SEGUIMIENTO DEL POAI'!B85</f>
        <v>6</v>
      </c>
      <c r="C9" s="339">
        <v>1</v>
      </c>
      <c r="D9" s="336">
        <f>'LINEA 4 SEGUIMIENTO DEL POAI'!B87</f>
        <v>32</v>
      </c>
      <c r="E9" s="330">
        <f>'LINEA 4 SEGUIMIENTO DEL POAI'!C85</f>
        <v>28565648</v>
      </c>
      <c r="F9" s="337">
        <f>'LINEA 4 SEGUIMIENTO DEL POAI'!C86</f>
        <v>451765745</v>
      </c>
      <c r="G9" s="330">
        <f>'LINEA 4 SEGUIMIENTO DEL POAI'!C87</f>
        <v>0</v>
      </c>
      <c r="H9" s="330">
        <f>'LINEA 4 SEGUIMIENTO DEL POAI'!E85</f>
        <v>164648509</v>
      </c>
      <c r="I9" s="337">
        <f>'LINEA 4 SEGUIMIENTO DEL POAI'!E86</f>
        <v>1489430450</v>
      </c>
      <c r="J9" s="330">
        <f>'LINEA 4 SEGUIMIENTO DEL POAI'!E87</f>
        <v>9639442</v>
      </c>
      <c r="K9" s="330">
        <f>'LINEA 4 SEGUIMIENTO DEL POAI'!G85</f>
        <v>0</v>
      </c>
      <c r="L9" s="337">
        <f>'LINEA 4 SEGUIMIENTO DEL POAI'!G86</f>
        <v>0</v>
      </c>
      <c r="M9" s="330">
        <f>'LINEA 4 SEGUIMIENTO DEL POAI'!G87</f>
        <v>0</v>
      </c>
      <c r="N9" s="330">
        <f>'LINEA 4 SEGUIMIENTO DEL POAI'!J85</f>
        <v>0</v>
      </c>
      <c r="O9" s="337">
        <f>'LINEA 4 SEGUIMIENTO DEL POAI'!J86</f>
        <v>0</v>
      </c>
      <c r="P9" s="345">
        <v>0</v>
      </c>
    </row>
    <row r="10" spans="1:16">
      <c r="A10" s="333" t="s">
        <v>648</v>
      </c>
      <c r="B10" s="340">
        <f>'LINEA5 SEGUIMIENTO POAI'!B55</f>
        <v>138</v>
      </c>
      <c r="C10" s="348">
        <v>0</v>
      </c>
      <c r="D10" s="350">
        <v>0</v>
      </c>
      <c r="E10" s="330">
        <f>'LINEA5 SEGUIMIENTO POAI'!C55</f>
        <v>0</v>
      </c>
      <c r="F10" s="347">
        <v>0</v>
      </c>
      <c r="G10" s="349">
        <v>0</v>
      </c>
      <c r="H10" s="330">
        <f>'LINEA5 SEGUIMIENTO POAI'!E55</f>
        <v>0</v>
      </c>
      <c r="I10" s="347">
        <v>0</v>
      </c>
      <c r="J10" s="349">
        <v>0</v>
      </c>
      <c r="K10" s="330">
        <f>'LINEA5 SEGUIMIENTO POAI'!G55</f>
        <v>0</v>
      </c>
      <c r="L10" s="347">
        <v>0</v>
      </c>
      <c r="M10" s="349">
        <v>0</v>
      </c>
      <c r="N10" s="330">
        <f>'LINEA5 SEGUIMIENTO POAI'!N55</f>
        <v>0</v>
      </c>
      <c r="O10" s="347">
        <v>0</v>
      </c>
      <c r="P10" s="353">
        <v>0</v>
      </c>
    </row>
    <row r="11" spans="1:16">
      <c r="A11" s="333" t="s">
        <v>649</v>
      </c>
      <c r="B11" s="340">
        <f>'LINEA 6 SEGUIMIENTO DEL POAI'!B40</f>
        <v>12</v>
      </c>
      <c r="C11" s="348">
        <v>0</v>
      </c>
      <c r="D11" s="350">
        <v>0</v>
      </c>
      <c r="E11" s="330">
        <f>'LINEA 6 SEGUIMIENTO DEL POAI'!C40</f>
        <v>0</v>
      </c>
      <c r="F11" s="347">
        <v>0</v>
      </c>
      <c r="G11" s="349">
        <v>0</v>
      </c>
      <c r="H11" s="330">
        <f>'LINEA 6 SEGUIMIENTO DEL POAI'!E40</f>
        <v>0</v>
      </c>
      <c r="I11" s="347">
        <v>0</v>
      </c>
      <c r="J11" s="349">
        <v>0</v>
      </c>
      <c r="K11" s="330">
        <f>'LINEA 6 SEGUIMIENTO DEL POAI'!G40</f>
        <v>0</v>
      </c>
      <c r="L11" s="347">
        <v>0</v>
      </c>
      <c r="M11" s="349">
        <v>0</v>
      </c>
      <c r="N11" s="330">
        <f>'LINEA 6 SEGUIMIENTO DEL POAI'!N40</f>
        <v>0</v>
      </c>
      <c r="O11" s="347">
        <v>0</v>
      </c>
      <c r="P11" s="353">
        <v>0</v>
      </c>
    </row>
    <row r="12" spans="1:16">
      <c r="A12" s="333" t="s">
        <v>650</v>
      </c>
      <c r="B12" s="340">
        <f>'LINEA7 SEGUIMIENTO DEL POAI '!B45</f>
        <v>23</v>
      </c>
      <c r="C12" s="339">
        <f>'LINEA7 SEGUIMIENTO DEL POAI '!B46</f>
        <v>1</v>
      </c>
      <c r="D12" s="350">
        <v>0</v>
      </c>
      <c r="E12" s="330">
        <f>'LINEA7 SEGUIMIENTO DEL POAI '!C45</f>
        <v>0</v>
      </c>
      <c r="F12" s="337">
        <f>'LINEA7 SEGUIMIENTO DEL POAI '!C46</f>
        <v>0</v>
      </c>
      <c r="G12" s="349">
        <v>0</v>
      </c>
      <c r="H12" s="330">
        <f>'LINEA7 SEGUIMIENTO DEL POAI '!E45</f>
        <v>0</v>
      </c>
      <c r="I12" s="337">
        <f>'LINEA7 SEGUIMIENTO DEL POAI '!E46</f>
        <v>0</v>
      </c>
      <c r="J12" s="349">
        <v>0</v>
      </c>
      <c r="K12" s="330">
        <f>'LINEA7 SEGUIMIENTO DEL POAI '!G45</f>
        <v>0</v>
      </c>
      <c r="L12" s="337">
        <f>'LINEA7 SEGUIMIENTO DEL POAI '!G46</f>
        <v>0</v>
      </c>
      <c r="M12" s="349">
        <v>0</v>
      </c>
      <c r="N12" s="330">
        <f>'LINEA7 SEGUIMIENTO DEL POAI '!N45</f>
        <v>0</v>
      </c>
      <c r="O12" s="337">
        <f>'LINEA7 SEGUIMIENTO DEL POAI '!N46</f>
        <v>0</v>
      </c>
      <c r="P12" s="353">
        <v>0</v>
      </c>
    </row>
    <row r="13" spans="1:16">
      <c r="A13" s="335" t="s">
        <v>651</v>
      </c>
      <c r="B13" s="340">
        <f>'LINEA8 SEGUIMIENTO DEL POAI'!B63</f>
        <v>158</v>
      </c>
      <c r="C13" s="356">
        <f>'LINEA8 SEGUIMIENTO DEL POAI'!B64</f>
        <v>1</v>
      </c>
      <c r="D13" s="351">
        <v>0</v>
      </c>
      <c r="E13" s="346">
        <f>'LINEA8 SEGUIMIENTO DEL POAI'!C63</f>
        <v>0</v>
      </c>
      <c r="F13" s="357">
        <f>'LINEA8 SEGUIMIENTO DEL POAI'!C64</f>
        <v>0</v>
      </c>
      <c r="G13" s="352">
        <v>0</v>
      </c>
      <c r="H13" s="346">
        <f>'LINEA8 SEGUIMIENTO DEL POAI'!E63</f>
        <v>0</v>
      </c>
      <c r="I13" s="357">
        <f>'LINEA8 SEGUIMIENTO DEL POAI'!E64</f>
        <v>0</v>
      </c>
      <c r="J13" s="352">
        <v>0</v>
      </c>
      <c r="K13" s="346">
        <f>'LINEA8 SEGUIMIENTO DEL POAI'!G63</f>
        <v>0</v>
      </c>
      <c r="L13" s="357">
        <f>'LINEA8 SEGUIMIENTO DEL POAI'!G64</f>
        <v>0</v>
      </c>
      <c r="M13" s="352">
        <v>0</v>
      </c>
      <c r="N13" s="346">
        <f>'LINEA8 SEGUIMIENTO DEL POAI'!N63</f>
        <v>0</v>
      </c>
      <c r="O13" s="357">
        <f>'LINEA8 SEGUIMIENTO DEL POAI'!N64</f>
        <v>0</v>
      </c>
      <c r="P13" s="354">
        <v>0</v>
      </c>
    </row>
    <row r="14" spans="1:16" ht="15.75" thickBot="1">
      <c r="A14" s="344" t="s">
        <v>654</v>
      </c>
      <c r="B14" s="355">
        <f>SUM(B6:B13)</f>
        <v>12051</v>
      </c>
      <c r="C14" s="358">
        <v>1</v>
      </c>
      <c r="D14" s="359">
        <f>D9</f>
        <v>32</v>
      </c>
      <c r="E14" s="359">
        <f>SUM(E6:E13)</f>
        <v>28565648</v>
      </c>
      <c r="F14" s="360">
        <f>AVERAGE(F13,F12,F9,F8,F7,F6)</f>
        <v>75294290.833333328</v>
      </c>
      <c r="G14" s="359">
        <f>G9</f>
        <v>0</v>
      </c>
      <c r="H14" s="359">
        <f>SUM(H6:H13)</f>
        <v>164648509</v>
      </c>
      <c r="I14" s="360">
        <f>AVERAGE(I13,I12,I9,I8,I7,I6)</f>
        <v>248238408.33333334</v>
      </c>
      <c r="J14" s="359">
        <f>J9</f>
        <v>9639442</v>
      </c>
      <c r="K14" s="359">
        <f>SUM(K6:K13)</f>
        <v>0</v>
      </c>
      <c r="L14" s="360">
        <f>AVERAGE(L13,L12,L9,L8,L7,L6)</f>
        <v>0</v>
      </c>
      <c r="M14" s="359">
        <f>M9</f>
        <v>0</v>
      </c>
      <c r="N14" s="359">
        <f>SUM(N6:N13)</f>
        <v>0</v>
      </c>
      <c r="O14" s="360">
        <f>AVERAGE(O13,O12,O9,O8,O7,O6)</f>
        <v>0</v>
      </c>
      <c r="P14" s="361">
        <f>P9</f>
        <v>0</v>
      </c>
    </row>
    <row r="15" spans="1:16" ht="15.75" thickBot="1">
      <c r="A15" s="362"/>
      <c r="P15" s="363"/>
    </row>
    <row r="16" spans="1:16" ht="15.75">
      <c r="A16" s="1122" t="s">
        <v>692</v>
      </c>
      <c r="B16" s="1123"/>
      <c r="C16" s="1123"/>
      <c r="D16" s="1123"/>
      <c r="E16" s="1123"/>
      <c r="F16" s="1123"/>
      <c r="G16" s="1123"/>
      <c r="H16" s="1123"/>
      <c r="I16" s="1124"/>
      <c r="P16" s="363"/>
    </row>
    <row r="17" spans="1:16">
      <c r="A17" s="1141" t="s">
        <v>639</v>
      </c>
      <c r="B17" s="956" t="s">
        <v>653</v>
      </c>
      <c r="C17" s="956" t="s">
        <v>640</v>
      </c>
      <c r="D17" s="956" t="s">
        <v>641</v>
      </c>
      <c r="E17" s="1137" t="s">
        <v>642</v>
      </c>
      <c r="F17" s="1137" t="s">
        <v>643</v>
      </c>
      <c r="G17" s="956" t="s">
        <v>690</v>
      </c>
      <c r="H17" s="1118" t="s">
        <v>691</v>
      </c>
      <c r="I17" s="1117" t="s">
        <v>691</v>
      </c>
      <c r="P17" s="363"/>
    </row>
    <row r="18" spans="1:16" ht="15.75" thickBot="1">
      <c r="A18" s="1141"/>
      <c r="B18" s="956" t="s">
        <v>593</v>
      </c>
      <c r="C18" s="956"/>
      <c r="D18" s="956"/>
      <c r="E18" s="1138"/>
      <c r="F18" s="1138"/>
      <c r="G18" s="956"/>
      <c r="H18" s="1143"/>
      <c r="I18" s="1118"/>
      <c r="P18" s="363"/>
    </row>
    <row r="19" spans="1:16" ht="15.75">
      <c r="A19" s="385" t="s">
        <v>644</v>
      </c>
      <c r="B19" s="380">
        <f>'LINEA 1	SEGUIMIENTO DEL PLAN OP'!A64</f>
        <v>768943571</v>
      </c>
      <c r="C19" s="380">
        <f>'LINEA 1	SEGUIMIENTO DEL PLAN OP'!B64</f>
        <v>173840008</v>
      </c>
      <c r="D19" s="380">
        <f>'LINEA 1	SEGUIMIENTO DEL PLAN OP'!D64</f>
        <v>173840008</v>
      </c>
      <c r="E19" s="381">
        <f>'LINEA 1	SEGUIMIENTO DEL PLAN OP'!F64</f>
        <v>0</v>
      </c>
      <c r="F19" s="381">
        <f>'LINEA 1	SEGUIMIENTO DEL PLAN OP'!M64</f>
        <v>0</v>
      </c>
      <c r="G19" s="380">
        <f t="shared" ref="G19:G26" si="0">D19+C19</f>
        <v>347680016</v>
      </c>
      <c r="H19" s="382">
        <f t="shared" ref="H19:H27" si="1">G19/B19*100%</f>
        <v>0.45215283554272673</v>
      </c>
      <c r="I19" s="1119">
        <v>0.53</v>
      </c>
      <c r="P19" s="363"/>
    </row>
    <row r="20" spans="1:16" ht="15.75">
      <c r="A20" s="385" t="s">
        <v>645</v>
      </c>
      <c r="B20" s="387">
        <f>'LINEA 2 SEGUIMIENTO DEL POAI'!A82</f>
        <v>49301015763.194084</v>
      </c>
      <c r="C20" s="387">
        <f>'LINEA 2 SEGUIMIENTO DEL POAI'!B82</f>
        <v>19616792701</v>
      </c>
      <c r="D20" s="387">
        <f>'LINEA 2 SEGUIMIENTO DEL POAI'!D82</f>
        <v>10766076558</v>
      </c>
      <c r="E20" s="381">
        <f>'LINEA 2 SEGUIMIENTO DEL POAI'!F82</f>
        <v>0</v>
      </c>
      <c r="F20" s="381">
        <f>'LINEA 2 SEGUIMIENTO DEL POAI'!M82</f>
        <v>0</v>
      </c>
      <c r="G20" s="380">
        <f t="shared" si="0"/>
        <v>30382869259</v>
      </c>
      <c r="H20" s="382">
        <f t="shared" si="1"/>
        <v>0.6162726829998193</v>
      </c>
      <c r="I20" s="1120"/>
      <c r="P20" s="363"/>
    </row>
    <row r="21" spans="1:16" ht="15.75">
      <c r="A21" s="385" t="s">
        <v>646</v>
      </c>
      <c r="B21" s="387">
        <f>'LINEA3 SEGUIMIENTO DE POAI'!A104</f>
        <v>57111634345</v>
      </c>
      <c r="C21" s="387">
        <f>'LINEA3 SEGUIMIENTO DE POAI'!B104</f>
        <v>17905329215</v>
      </c>
      <c r="D21" s="387">
        <f>'LINEA3 SEGUIMIENTO DE POAI'!D104</f>
        <v>8782218462</v>
      </c>
      <c r="E21" s="381">
        <f>'LINEA3 SEGUIMIENTO DE POAI'!F104</f>
        <v>0</v>
      </c>
      <c r="F21" s="381">
        <f>'LINEA3 SEGUIMIENTO DE POAI'!M104</f>
        <v>0</v>
      </c>
      <c r="G21" s="380">
        <f t="shared" si="0"/>
        <v>26687547677</v>
      </c>
      <c r="H21" s="382">
        <f t="shared" si="1"/>
        <v>0.4672874097033512</v>
      </c>
      <c r="I21" s="1120"/>
      <c r="P21" s="363"/>
    </row>
    <row r="22" spans="1:16" ht="15.75">
      <c r="A22" s="385" t="s">
        <v>647</v>
      </c>
      <c r="B22" s="380">
        <f>'LINEA 4 SEGUIMIENTO DEL POAI'!A91</f>
        <v>5632357757.6155205</v>
      </c>
      <c r="C22" s="380">
        <f>'LINEA 4 SEGUIMIENTO DEL POAI'!B91</f>
        <v>1199259976</v>
      </c>
      <c r="D22" s="380">
        <f>'LINEA 4 SEGUIMIENTO DEL POAI'!D91</f>
        <v>1687108234</v>
      </c>
      <c r="E22" s="381">
        <f>'LINEA 4 SEGUIMIENTO DEL POAI'!F91</f>
        <v>0</v>
      </c>
      <c r="F22" s="381">
        <f>'LINEA 4 SEGUIMIENTO DEL POAI'!H91</f>
        <v>0</v>
      </c>
      <c r="G22" s="380">
        <f t="shared" si="0"/>
        <v>2886368210</v>
      </c>
      <c r="H22" s="382">
        <f t="shared" si="1"/>
        <v>0.51246180271438491</v>
      </c>
      <c r="I22" s="1120"/>
      <c r="P22" s="363"/>
    </row>
    <row r="23" spans="1:16" ht="15.75">
      <c r="A23" s="385" t="s">
        <v>648</v>
      </c>
      <c r="B23" s="380">
        <f>'LINEA5 SEGUIMIENTO POAI'!A59</f>
        <v>322665784.31520021</v>
      </c>
      <c r="C23" s="380">
        <f>'LINEA5 SEGUIMIENTO POAI'!B59</f>
        <v>66897654</v>
      </c>
      <c r="D23" s="380">
        <f>'LINEA5 SEGUIMIENTO POAI'!D59</f>
        <v>66897654</v>
      </c>
      <c r="E23" s="381">
        <f>'LINEA5 SEGUIMIENTO POAI'!F59</f>
        <v>0</v>
      </c>
      <c r="F23" s="381">
        <f>'LINEA5 SEGUIMIENTO POAI'!H59</f>
        <v>0</v>
      </c>
      <c r="G23" s="380">
        <f t="shared" si="0"/>
        <v>133795308</v>
      </c>
      <c r="H23" s="382">
        <f t="shared" si="1"/>
        <v>0.41465601406717589</v>
      </c>
      <c r="I23" s="1120"/>
      <c r="P23" s="363"/>
    </row>
    <row r="24" spans="1:16" ht="15.75">
      <c r="A24" s="385" t="s">
        <v>649</v>
      </c>
      <c r="B24" s="380">
        <f>'LINEA 6 SEGUIMIENTO DEL POAI'!A44</f>
        <v>119838668.808</v>
      </c>
      <c r="C24" s="380">
        <f>'LINEA 6 SEGUIMIENTO DEL POAI'!B44</f>
        <v>34848791</v>
      </c>
      <c r="D24" s="380">
        <f>'LINEA 6 SEGUIMIENTO DEL POAI'!D44</f>
        <v>34848791</v>
      </c>
      <c r="E24" s="381">
        <f>'LINEA 6 SEGUIMIENTO DEL POAI'!F44</f>
        <v>34848791</v>
      </c>
      <c r="F24" s="381">
        <f>'LINEA 6 SEGUIMIENTO DEL POAI'!H44</f>
        <v>0</v>
      </c>
      <c r="G24" s="380">
        <f t="shared" si="0"/>
        <v>69697582</v>
      </c>
      <c r="H24" s="382">
        <f t="shared" si="1"/>
        <v>0.58159509524981667</v>
      </c>
      <c r="I24" s="1120"/>
      <c r="P24" s="363"/>
    </row>
    <row r="25" spans="1:16" ht="15.75">
      <c r="A25" s="385" t="s">
        <v>650</v>
      </c>
      <c r="B25" s="380">
        <f>'LINEA7 SEGUIMIENTO DEL POAI '!A50</f>
        <v>636777246</v>
      </c>
      <c r="C25" s="380">
        <f>'LINEA7 SEGUIMIENTO DEL POAI '!B50</f>
        <v>116614327</v>
      </c>
      <c r="D25" s="380">
        <f>'LINEA7 SEGUIMIENTO DEL POAI '!D50</f>
        <v>14923578</v>
      </c>
      <c r="E25" s="381">
        <f>'LINEA7 SEGUIMIENTO DEL POAI '!F50</f>
        <v>0</v>
      </c>
      <c r="F25" s="381">
        <f>'LINEA7 SEGUIMIENTO DEL POAI '!H50</f>
        <v>0</v>
      </c>
      <c r="G25" s="380">
        <f t="shared" si="0"/>
        <v>131537905</v>
      </c>
      <c r="H25" s="382">
        <f t="shared" si="1"/>
        <v>0.206568161513736</v>
      </c>
      <c r="I25" s="1120"/>
      <c r="P25" s="363"/>
    </row>
    <row r="26" spans="1:16" ht="15.75">
      <c r="A26" s="385" t="s">
        <v>651</v>
      </c>
      <c r="B26" s="380">
        <f>'LINEA8 SEGUIMIENTO DEL POAI'!A68</f>
        <v>2100195606.0671997</v>
      </c>
      <c r="C26" s="380">
        <f>'LINEA8 SEGUIMIENTO DEL POAI'!B68</f>
        <v>623402330.39999986</v>
      </c>
      <c r="D26" s="380">
        <f>'LINEA8 SEGUIMIENTO DEL POAI'!D68</f>
        <v>747455070.99999988</v>
      </c>
      <c r="E26" s="381">
        <f>'LINEA8 SEGUIMIENTO DEL POAI'!F68</f>
        <v>0</v>
      </c>
      <c r="F26" s="381">
        <f>'LINEA8 SEGUIMIENTO DEL POAI'!H68</f>
        <v>0</v>
      </c>
      <c r="G26" s="380">
        <f t="shared" si="0"/>
        <v>1370857401.3999996</v>
      </c>
      <c r="H26" s="382">
        <f t="shared" si="1"/>
        <v>0.65272843988424978</v>
      </c>
      <c r="I26" s="1120"/>
      <c r="P26" s="363"/>
    </row>
    <row r="27" spans="1:16" ht="16.5" thickBot="1">
      <c r="A27" s="383" t="s">
        <v>654</v>
      </c>
      <c r="B27" s="386">
        <f>SUM(B19:B26)</f>
        <v>115993428742.00002</v>
      </c>
      <c r="C27" s="386">
        <f t="shared" ref="C27:D27" si="2">SUM(C19:C26)</f>
        <v>39736985002.400002</v>
      </c>
      <c r="D27" s="386">
        <f t="shared" si="2"/>
        <v>22273368356</v>
      </c>
      <c r="E27" s="386">
        <f>SUM(E19:E26)</f>
        <v>34848791</v>
      </c>
      <c r="F27" s="386">
        <f>SUM(F19:F26)</f>
        <v>0</v>
      </c>
      <c r="G27" s="386">
        <f t="shared" ref="G27" si="3">D27+C27</f>
        <v>62010353358.400002</v>
      </c>
      <c r="H27" s="384">
        <f t="shared" si="1"/>
        <v>0.53460229627600186</v>
      </c>
      <c r="I27" s="1121"/>
      <c r="J27" s="364"/>
      <c r="K27" s="364"/>
      <c r="L27" s="364"/>
      <c r="M27" s="364"/>
      <c r="N27" s="364"/>
      <c r="O27" s="364"/>
      <c r="P27" s="365"/>
    </row>
    <row r="29" spans="1:16">
      <c r="B29">
        <v>130511552077</v>
      </c>
    </row>
    <row r="30" spans="1:16">
      <c r="B30" s="379">
        <f>+B29-B27</f>
        <v>14518123334.999985</v>
      </c>
    </row>
  </sheetData>
  <mergeCells count="19">
    <mergeCell ref="H4:J4"/>
    <mergeCell ref="G17:G18"/>
    <mergeCell ref="H17:H18"/>
    <mergeCell ref="I17:I18"/>
    <mergeCell ref="I19:I27"/>
    <mergeCell ref="A16:I16"/>
    <mergeCell ref="N4:P4"/>
    <mergeCell ref="A1:P2"/>
    <mergeCell ref="A3:P3"/>
    <mergeCell ref="F17:F18"/>
    <mergeCell ref="A4:A5"/>
    <mergeCell ref="E4:G4"/>
    <mergeCell ref="K4:M4"/>
    <mergeCell ref="B4:D4"/>
    <mergeCell ref="A17:A18"/>
    <mergeCell ref="B17:B18"/>
    <mergeCell ref="C17:C18"/>
    <mergeCell ref="D17:D18"/>
    <mergeCell ref="E17:E18"/>
  </mergeCells>
  <phoneticPr fontId="34" type="noConversion"/>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C1C4A-6AE0-4C8E-8AB2-AFF33C65B490}">
  <dimension ref="A2:U23"/>
  <sheetViews>
    <sheetView zoomScale="87" zoomScaleNormal="87" workbookViewId="0">
      <selection activeCell="C19" sqref="C19"/>
    </sheetView>
  </sheetViews>
  <sheetFormatPr baseColWidth="10" defaultRowHeight="15"/>
  <cols>
    <col min="1" max="1" width="44.85546875" customWidth="1"/>
    <col min="2" max="2" width="55.42578125" customWidth="1"/>
    <col min="3" max="3" width="24.42578125" customWidth="1"/>
    <col min="4" max="4" width="27" customWidth="1"/>
    <col min="5" max="5" width="22.42578125" customWidth="1"/>
    <col min="6" max="6" width="20.140625" customWidth="1"/>
  </cols>
  <sheetData>
    <row r="2" spans="1:6">
      <c r="A2" s="934" t="s">
        <v>772</v>
      </c>
      <c r="B2" s="934"/>
      <c r="C2" s="934"/>
      <c r="D2" s="934"/>
      <c r="E2" s="934"/>
      <c r="F2" s="934"/>
    </row>
    <row r="3" spans="1:6" ht="45">
      <c r="A3" s="273" t="s">
        <v>773</v>
      </c>
      <c r="B3" s="273" t="s">
        <v>774</v>
      </c>
      <c r="C3" s="273" t="s">
        <v>775</v>
      </c>
      <c r="D3" s="273" t="s">
        <v>776</v>
      </c>
      <c r="E3" s="262" t="s">
        <v>777</v>
      </c>
      <c r="F3" s="262" t="s">
        <v>778</v>
      </c>
    </row>
    <row r="4" spans="1:6" ht="28.5" customHeight="1">
      <c r="A4" s="1147" t="s">
        <v>49</v>
      </c>
      <c r="B4" s="434" t="s">
        <v>219</v>
      </c>
      <c r="C4" s="435">
        <v>648375074</v>
      </c>
      <c r="D4" s="938">
        <f>C4+C5+C6</f>
        <v>876375074</v>
      </c>
      <c r="E4" s="438">
        <f>C4/D4*100</f>
        <v>73.983742034178391</v>
      </c>
      <c r="F4" s="944">
        <f>D4/C23*100</f>
        <v>0.56829669716346631</v>
      </c>
    </row>
    <row r="5" spans="1:6" ht="29.25">
      <c r="A5" s="1148"/>
      <c r="B5" s="434" t="s">
        <v>324</v>
      </c>
      <c r="C5" s="435">
        <v>114000000</v>
      </c>
      <c r="D5" s="938"/>
      <c r="E5" s="438">
        <f>C5/D4*100</f>
        <v>13.008128982910803</v>
      </c>
      <c r="F5" s="950"/>
    </row>
    <row r="6" spans="1:6" ht="29.25">
      <c r="A6" s="1149"/>
      <c r="B6" s="434" t="s">
        <v>220</v>
      </c>
      <c r="C6" s="435">
        <v>114000000</v>
      </c>
      <c r="D6" s="938"/>
      <c r="E6" s="438">
        <f>C6/D4*100</f>
        <v>13.008128982910803</v>
      </c>
      <c r="F6" s="945"/>
    </row>
    <row r="7" spans="1:6" ht="28.5">
      <c r="A7" s="1147" t="s">
        <v>74</v>
      </c>
      <c r="B7" s="433" t="s">
        <v>221</v>
      </c>
      <c r="C7" s="435">
        <v>3136460946</v>
      </c>
      <c r="D7" s="942">
        <f>C7+C8</f>
        <v>59599968609</v>
      </c>
      <c r="E7" s="438">
        <f>C7/D7*100</f>
        <v>5.2625211375134402</v>
      </c>
      <c r="F7" s="944">
        <f>D7/C23*100</f>
        <v>38.648366796818515</v>
      </c>
    </row>
    <row r="8" spans="1:6" ht="28.5">
      <c r="A8" s="1149"/>
      <c r="B8" s="433" t="s">
        <v>780</v>
      </c>
      <c r="C8" s="435">
        <v>56463507663</v>
      </c>
      <c r="D8" s="943"/>
      <c r="E8" s="438">
        <f>C8/D7*100</f>
        <v>94.737478862486554</v>
      </c>
      <c r="F8" s="945"/>
    </row>
    <row r="9" spans="1:6" ht="43.5">
      <c r="A9" s="1147" t="s">
        <v>132</v>
      </c>
      <c r="B9" s="434" t="s">
        <v>223</v>
      </c>
      <c r="C9" s="435">
        <v>86291752748</v>
      </c>
      <c r="D9" s="942">
        <f>C9+C10</f>
        <v>86291752748</v>
      </c>
      <c r="E9" s="260">
        <f>C9/D9*100</f>
        <v>100</v>
      </c>
      <c r="F9" s="944">
        <f>D9/C23*100</f>
        <v>55.956997790120703</v>
      </c>
    </row>
    <row r="10" spans="1:6" ht="57.75">
      <c r="A10" s="1149"/>
      <c r="B10" s="434" t="s">
        <v>781</v>
      </c>
      <c r="C10" s="436">
        <v>0</v>
      </c>
      <c r="D10" s="943"/>
      <c r="E10" s="260">
        <f>C10/D9*100</f>
        <v>0</v>
      </c>
      <c r="F10" s="945"/>
    </row>
    <row r="11" spans="1:6" ht="29.25">
      <c r="A11" s="1150" t="s">
        <v>610</v>
      </c>
      <c r="B11" s="434" t="s">
        <v>192</v>
      </c>
      <c r="C11" s="437">
        <v>0</v>
      </c>
      <c r="D11" s="942">
        <f>C11+C12+C13+C14</f>
        <v>4099902821</v>
      </c>
      <c r="E11" s="260">
        <v>0</v>
      </c>
      <c r="F11" s="944">
        <f>D11/C23*100</f>
        <v>2.6586347569550774</v>
      </c>
    </row>
    <row r="12" spans="1:6">
      <c r="A12" s="1151"/>
      <c r="B12" s="437" t="s">
        <v>782</v>
      </c>
      <c r="C12" s="435">
        <v>262068277</v>
      </c>
      <c r="D12" s="949"/>
      <c r="E12" s="438">
        <f>C12/D11*100</f>
        <v>6.3920607009919177</v>
      </c>
      <c r="F12" s="950"/>
    </row>
    <row r="13" spans="1:6">
      <c r="A13" s="1151"/>
      <c r="B13" s="434" t="s">
        <v>783</v>
      </c>
      <c r="C13" s="439">
        <v>295834544</v>
      </c>
      <c r="D13" s="949"/>
      <c r="E13" s="438">
        <f>C13/D11*100</f>
        <v>7.2156477096167739</v>
      </c>
      <c r="F13" s="950"/>
    </row>
    <row r="14" spans="1:6" ht="29.25">
      <c r="A14" s="1152"/>
      <c r="B14" s="434" t="s">
        <v>784</v>
      </c>
      <c r="C14" s="439">
        <v>3542000000</v>
      </c>
      <c r="D14" s="943"/>
      <c r="E14" s="438">
        <f>C14/D11*100</f>
        <v>86.392291589391306</v>
      </c>
      <c r="F14" s="945"/>
    </row>
    <row r="15" spans="1:6" ht="29.25">
      <c r="A15" s="1147" t="s">
        <v>501</v>
      </c>
      <c r="B15" s="434" t="s">
        <v>503</v>
      </c>
      <c r="C15" s="439">
        <v>184000000</v>
      </c>
      <c r="D15" s="942">
        <f>C15+C16</f>
        <v>425717734</v>
      </c>
      <c r="E15" s="438">
        <f>C15/D15*100</f>
        <v>43.221126418943122</v>
      </c>
      <c r="F15" s="944">
        <f>D15/C23*100</f>
        <v>0.2760621443189461</v>
      </c>
    </row>
    <row r="16" spans="1:6" ht="28.5" customHeight="1">
      <c r="A16" s="1149"/>
      <c r="B16" s="437" t="s">
        <v>236</v>
      </c>
      <c r="C16" s="439">
        <v>241717734</v>
      </c>
      <c r="D16" s="943"/>
      <c r="E16" s="438">
        <f>C16/D15*100</f>
        <v>56.778873581056878</v>
      </c>
      <c r="F16" s="945"/>
    </row>
    <row r="17" spans="1:21" ht="29.25">
      <c r="A17" s="1147" t="s">
        <v>615</v>
      </c>
      <c r="B17" s="434" t="s">
        <v>253</v>
      </c>
      <c r="C17" s="439">
        <v>252052566</v>
      </c>
      <c r="D17" s="942">
        <f>C17+C18</f>
        <v>252052566</v>
      </c>
      <c r="E17" s="260">
        <f>C17/D17*100</f>
        <v>100</v>
      </c>
      <c r="F17" s="944">
        <f>D17/C23*100</f>
        <v>0.16344673076516164</v>
      </c>
    </row>
    <row r="18" spans="1:21" ht="29.25">
      <c r="A18" s="1149"/>
      <c r="B18" s="434" t="s">
        <v>319</v>
      </c>
      <c r="C18" s="437">
        <v>0</v>
      </c>
      <c r="D18" s="943"/>
      <c r="E18" s="260">
        <v>0</v>
      </c>
      <c r="F18" s="945"/>
    </row>
    <row r="19" spans="1:21" ht="29.25">
      <c r="A19" s="433" t="s">
        <v>788</v>
      </c>
      <c r="B19" s="434" t="s">
        <v>789</v>
      </c>
      <c r="C19" s="439">
        <v>392400000</v>
      </c>
      <c r="D19" s="440">
        <f>C19</f>
        <v>392400000</v>
      </c>
      <c r="E19" s="260">
        <f>D19/C19*100</f>
        <v>100</v>
      </c>
      <c r="F19" s="438">
        <f>D19/C23*100</f>
        <v>0.25445683085110676</v>
      </c>
    </row>
    <row r="20" spans="1:21" ht="29.25" customHeight="1">
      <c r="A20" s="1147" t="s">
        <v>620</v>
      </c>
      <c r="B20" s="441" t="s">
        <v>790</v>
      </c>
      <c r="C20" s="1144">
        <v>2272664045</v>
      </c>
      <c r="D20" s="953">
        <f>C20</f>
        <v>2272664045</v>
      </c>
      <c r="E20" s="954">
        <f>C20/D20*100</f>
        <v>100</v>
      </c>
      <c r="F20" s="944">
        <f>D20/C23*100</f>
        <v>1.4737382530070262</v>
      </c>
    </row>
    <row r="21" spans="1:21" ht="29.25" customHeight="1">
      <c r="A21" s="1148"/>
      <c r="B21" s="441" t="s">
        <v>791</v>
      </c>
      <c r="C21" s="1145"/>
      <c r="D21" s="949"/>
      <c r="E21" s="949"/>
      <c r="F21" s="950"/>
      <c r="U21" t="s">
        <v>795</v>
      </c>
    </row>
    <row r="22" spans="1:21" ht="29.25" customHeight="1">
      <c r="A22" s="1149"/>
      <c r="B22" s="441" t="s">
        <v>280</v>
      </c>
      <c r="C22" s="1146"/>
      <c r="D22" s="943"/>
      <c r="E22" s="943"/>
      <c r="F22" s="945"/>
    </row>
    <row r="23" spans="1:21">
      <c r="A23" s="951" t="s">
        <v>792</v>
      </c>
      <c r="B23" s="952"/>
      <c r="C23" s="442">
        <f>SUM(C4:C22)</f>
        <v>154210833597</v>
      </c>
      <c r="D23" s="442">
        <f>SUM(D4:D22)</f>
        <v>154210833597</v>
      </c>
      <c r="E23" s="443"/>
      <c r="F23" s="443">
        <f>SUM(F4:F22)</f>
        <v>100</v>
      </c>
    </row>
  </sheetData>
  <mergeCells count="25">
    <mergeCell ref="A23:B23"/>
    <mergeCell ref="D4:D6"/>
    <mergeCell ref="A2:F2"/>
    <mergeCell ref="D7:D8"/>
    <mergeCell ref="D9:D10"/>
    <mergeCell ref="F4:F6"/>
    <mergeCell ref="F7:F8"/>
    <mergeCell ref="F9:F10"/>
    <mergeCell ref="A4:A6"/>
    <mergeCell ref="A7:A8"/>
    <mergeCell ref="A9:A10"/>
    <mergeCell ref="A11:A14"/>
    <mergeCell ref="A15:A16"/>
    <mergeCell ref="A17:A18"/>
    <mergeCell ref="A20:A22"/>
    <mergeCell ref="D11:D14"/>
    <mergeCell ref="D15:D16"/>
    <mergeCell ref="D17:D18"/>
    <mergeCell ref="C20:C22"/>
    <mergeCell ref="D20:D22"/>
    <mergeCell ref="F11:F14"/>
    <mergeCell ref="F15:F16"/>
    <mergeCell ref="F17:F18"/>
    <mergeCell ref="E20:E22"/>
    <mergeCell ref="F20:F22"/>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C45A2-8042-4E87-BB39-211DFA3914BF}">
  <dimension ref="A2:AJ127"/>
  <sheetViews>
    <sheetView topLeftCell="A35" workbookViewId="0">
      <selection activeCell="A31" sqref="A31:E45"/>
    </sheetView>
  </sheetViews>
  <sheetFormatPr baseColWidth="10" defaultRowHeight="15"/>
  <cols>
    <col min="1" max="1" width="47.7109375" customWidth="1"/>
    <col min="2" max="2" width="10" customWidth="1"/>
    <col min="3" max="3" width="52.85546875" customWidth="1"/>
    <col min="4" max="4" width="45.5703125" customWidth="1"/>
    <col min="5" max="5" width="30" customWidth="1"/>
  </cols>
  <sheetData>
    <row r="2" spans="1:5" ht="39" customHeight="1">
      <c r="A2" s="914" t="s">
        <v>901</v>
      </c>
      <c r="B2" s="1171"/>
      <c r="C2" s="1171"/>
      <c r="D2" s="1171"/>
      <c r="E2" s="1171"/>
    </row>
    <row r="3" spans="1:5" ht="29.25" customHeight="1">
      <c r="A3" s="1172" t="s">
        <v>863</v>
      </c>
      <c r="B3" s="1172"/>
      <c r="C3" s="1172"/>
      <c r="D3" s="1172"/>
      <c r="E3" s="1172"/>
    </row>
    <row r="4" spans="1:5" ht="15.75">
      <c r="A4" s="455" t="s">
        <v>774</v>
      </c>
      <c r="B4" s="455" t="s">
        <v>864</v>
      </c>
      <c r="C4" s="455" t="s">
        <v>865</v>
      </c>
      <c r="D4" s="455" t="s">
        <v>866</v>
      </c>
      <c r="E4" s="455" t="s">
        <v>775</v>
      </c>
    </row>
    <row r="5" spans="1:5" ht="135">
      <c r="A5" s="1176" t="s">
        <v>867</v>
      </c>
      <c r="B5" s="456" t="s">
        <v>59</v>
      </c>
      <c r="C5" s="1173" t="s">
        <v>62</v>
      </c>
      <c r="D5" s="457" t="s">
        <v>701</v>
      </c>
      <c r="E5" s="1177">
        <v>648375074</v>
      </c>
    </row>
    <row r="6" spans="1:5" ht="45">
      <c r="A6" s="1176"/>
      <c r="B6" s="458"/>
      <c r="C6" s="1173"/>
      <c r="D6" s="457" t="s">
        <v>899</v>
      </c>
      <c r="E6" s="1177"/>
    </row>
    <row r="7" spans="1:5" ht="30">
      <c r="A7" s="1176"/>
      <c r="B7" s="459"/>
      <c r="C7" s="1173"/>
      <c r="D7" s="457" t="s">
        <v>361</v>
      </c>
      <c r="E7" s="1177"/>
    </row>
    <row r="8" spans="1:5" ht="66" customHeight="1">
      <c r="A8" s="1173" t="s">
        <v>868</v>
      </c>
      <c r="B8" s="459"/>
      <c r="C8" s="1173" t="s">
        <v>325</v>
      </c>
      <c r="D8" s="457" t="s">
        <v>705</v>
      </c>
      <c r="E8" s="1174">
        <v>114000000</v>
      </c>
    </row>
    <row r="9" spans="1:5" ht="45">
      <c r="A9" s="1173"/>
      <c r="B9" s="459"/>
      <c r="C9" s="1173"/>
      <c r="D9" s="457" t="s">
        <v>900</v>
      </c>
      <c r="E9" s="1174"/>
    </row>
    <row r="10" spans="1:5" ht="30">
      <c r="A10" s="1173"/>
      <c r="B10" s="459"/>
      <c r="C10" s="1173"/>
      <c r="D10" s="457" t="s">
        <v>394</v>
      </c>
      <c r="E10" s="1174"/>
    </row>
    <row r="11" spans="1:5" ht="45">
      <c r="A11" s="1173"/>
      <c r="B11" s="459"/>
      <c r="C11" s="1173"/>
      <c r="D11" s="457" t="s">
        <v>707</v>
      </c>
      <c r="E11" s="1174"/>
    </row>
    <row r="12" spans="1:5" ht="45" customHeight="1">
      <c r="A12" s="1173" t="s">
        <v>869</v>
      </c>
      <c r="B12" s="459"/>
      <c r="C12" s="1173" t="s">
        <v>870</v>
      </c>
      <c r="D12" s="457" t="s">
        <v>357</v>
      </c>
      <c r="E12" s="1174">
        <v>114000000</v>
      </c>
    </row>
    <row r="13" spans="1:5" ht="30">
      <c r="A13" s="1173"/>
      <c r="B13" s="459"/>
      <c r="C13" s="1173"/>
      <c r="D13" s="457" t="s">
        <v>359</v>
      </c>
      <c r="E13" s="1174"/>
    </row>
    <row r="14" spans="1:5" ht="30">
      <c r="A14" s="1173"/>
      <c r="B14" s="459"/>
      <c r="C14" s="1173"/>
      <c r="D14" s="457" t="s">
        <v>397</v>
      </c>
      <c r="E14" s="1174"/>
    </row>
    <row r="15" spans="1:5" ht="15.75">
      <c r="A15" s="460" t="s">
        <v>871</v>
      </c>
      <c r="B15" s="460"/>
      <c r="C15" s="460"/>
      <c r="D15" s="460"/>
      <c r="E15" s="461">
        <f>E12+E8+E5</f>
        <v>876375074</v>
      </c>
    </row>
    <row r="19" spans="1:36" ht="33.75" customHeight="1">
      <c r="A19" s="914" t="s">
        <v>901</v>
      </c>
      <c r="B19" s="1171"/>
      <c r="C19" s="1171"/>
      <c r="D19" s="1171"/>
      <c r="E19" s="1171"/>
    </row>
    <row r="20" spans="1:36">
      <c r="A20" s="1172" t="s">
        <v>872</v>
      </c>
      <c r="B20" s="1172"/>
      <c r="C20" s="1172"/>
      <c r="D20" s="1172"/>
      <c r="E20" s="1172"/>
    </row>
    <row r="21" spans="1:36" ht="15.75">
      <c r="A21" s="455" t="s">
        <v>774</v>
      </c>
      <c r="B21" s="455" t="s">
        <v>864</v>
      </c>
      <c r="C21" s="455" t="s">
        <v>865</v>
      </c>
      <c r="D21" s="455" t="s">
        <v>866</v>
      </c>
      <c r="E21" s="455" t="s">
        <v>775</v>
      </c>
    </row>
    <row r="22" spans="1:36" ht="135">
      <c r="A22" s="1173" t="s">
        <v>873</v>
      </c>
      <c r="B22" s="456" t="s">
        <v>59</v>
      </c>
      <c r="C22" s="1175" t="s">
        <v>134</v>
      </c>
      <c r="D22" s="457" t="s">
        <v>797</v>
      </c>
      <c r="E22" s="1165">
        <v>86291752748</v>
      </c>
    </row>
    <row r="23" spans="1:36" ht="30">
      <c r="A23" s="1173"/>
      <c r="B23" s="458"/>
      <c r="C23" s="1175"/>
      <c r="D23" s="457" t="s">
        <v>802</v>
      </c>
      <c r="E23" s="1166"/>
    </row>
    <row r="24" spans="1:36" ht="108.75" customHeight="1">
      <c r="A24" s="1173"/>
      <c r="B24" s="458"/>
      <c r="C24" s="1175"/>
      <c r="D24" s="457" t="s">
        <v>814</v>
      </c>
      <c r="E24" s="1166"/>
    </row>
    <row r="25" spans="1:36" ht="54" customHeight="1">
      <c r="A25" s="1157" t="s">
        <v>874</v>
      </c>
      <c r="B25" s="459"/>
      <c r="C25" s="1157" t="s">
        <v>160</v>
      </c>
      <c r="D25" s="457" t="s">
        <v>826</v>
      </c>
      <c r="E25" s="1166"/>
      <c r="H25" s="471" t="s">
        <v>903</v>
      </c>
      <c r="AJ25" s="471" t="s">
        <v>904</v>
      </c>
    </row>
    <row r="26" spans="1:36" ht="75">
      <c r="A26" s="1157"/>
      <c r="B26" s="459"/>
      <c r="C26" s="1157"/>
      <c r="D26" s="457" t="s">
        <v>825</v>
      </c>
      <c r="E26" s="1167"/>
    </row>
    <row r="27" spans="1:36" ht="15.75">
      <c r="A27" s="460" t="s">
        <v>871</v>
      </c>
      <c r="B27" s="460"/>
      <c r="C27" s="460"/>
      <c r="D27" s="460"/>
      <c r="E27" s="461">
        <f>E22+E25</f>
        <v>86291752748</v>
      </c>
    </row>
    <row r="31" spans="1:36" ht="46.5" customHeight="1">
      <c r="A31" s="914" t="s">
        <v>901</v>
      </c>
      <c r="B31" s="1171"/>
      <c r="C31" s="1171"/>
      <c r="D31" s="1171"/>
      <c r="E31" s="1171"/>
    </row>
    <row r="32" spans="1:36">
      <c r="A32" s="1172" t="s">
        <v>875</v>
      </c>
      <c r="B32" s="1172"/>
      <c r="C32" s="1172"/>
      <c r="D32" s="1172"/>
      <c r="E32" s="1172"/>
    </row>
    <row r="33" spans="1:5" ht="15.75">
      <c r="A33" s="455" t="s">
        <v>774</v>
      </c>
      <c r="B33" s="455" t="s">
        <v>864</v>
      </c>
      <c r="C33" s="455" t="s">
        <v>865</v>
      </c>
      <c r="D33" s="455" t="s">
        <v>866</v>
      </c>
      <c r="E33" s="455" t="s">
        <v>775</v>
      </c>
    </row>
    <row r="34" spans="1:5" ht="135">
      <c r="A34" s="1173" t="s">
        <v>876</v>
      </c>
      <c r="B34" s="456" t="s">
        <v>59</v>
      </c>
      <c r="C34" s="1175" t="s">
        <v>76</v>
      </c>
      <c r="D34" s="457" t="s">
        <v>468</v>
      </c>
      <c r="E34" s="1174">
        <v>3136460946</v>
      </c>
    </row>
    <row r="35" spans="1:5" ht="30">
      <c r="A35" s="1173"/>
      <c r="B35" s="458"/>
      <c r="C35" s="1175"/>
      <c r="D35" s="457" t="s">
        <v>470</v>
      </c>
      <c r="E35" s="1174"/>
    </row>
    <row r="36" spans="1:5" ht="30">
      <c r="A36" s="1173"/>
      <c r="B36" s="458"/>
      <c r="C36" s="1175"/>
      <c r="D36" s="457" t="s">
        <v>471</v>
      </c>
      <c r="E36" s="1174"/>
    </row>
    <row r="37" spans="1:5" ht="30">
      <c r="A37" s="1173"/>
      <c r="B37" s="458"/>
      <c r="C37" s="1175"/>
      <c r="D37" s="457" t="s">
        <v>472</v>
      </c>
      <c r="E37" s="1174"/>
    </row>
    <row r="38" spans="1:5" ht="30">
      <c r="A38" s="1173"/>
      <c r="B38" s="458"/>
      <c r="C38" s="1175"/>
      <c r="D38" s="457" t="s">
        <v>475</v>
      </c>
      <c r="E38" s="1174"/>
    </row>
    <row r="39" spans="1:5" ht="30">
      <c r="A39" s="1173"/>
      <c r="B39" s="458"/>
      <c r="C39" s="1175"/>
      <c r="D39" s="457" t="s">
        <v>476</v>
      </c>
      <c r="E39" s="1174"/>
    </row>
    <row r="40" spans="1:5" ht="15.75">
      <c r="A40" s="1173"/>
      <c r="B40" s="459"/>
      <c r="C40" s="1175"/>
      <c r="D40" s="457" t="s">
        <v>759</v>
      </c>
      <c r="E40" s="1174"/>
    </row>
    <row r="41" spans="1:5" ht="30">
      <c r="A41" s="1156" t="s">
        <v>877</v>
      </c>
      <c r="B41" s="459"/>
      <c r="C41" s="1156" t="s">
        <v>165</v>
      </c>
      <c r="D41" s="457" t="s">
        <v>708</v>
      </c>
      <c r="E41" s="1165">
        <v>56463507663</v>
      </c>
    </row>
    <row r="42" spans="1:5" ht="45">
      <c r="A42" s="1157"/>
      <c r="B42" s="459"/>
      <c r="C42" s="1157"/>
      <c r="D42" s="457" t="s">
        <v>709</v>
      </c>
      <c r="E42" s="1166"/>
    </row>
    <row r="43" spans="1:5" ht="120">
      <c r="A43" s="1157"/>
      <c r="B43" s="459"/>
      <c r="C43" s="1157"/>
      <c r="D43" s="457" t="s">
        <v>710</v>
      </c>
      <c r="E43" s="1166"/>
    </row>
    <row r="44" spans="1:5" ht="30">
      <c r="A44" s="1157"/>
      <c r="B44" s="459"/>
      <c r="C44" s="1157"/>
      <c r="D44" s="457" t="s">
        <v>712</v>
      </c>
      <c r="E44" s="1166"/>
    </row>
    <row r="45" spans="1:5" ht="15.75">
      <c r="A45" s="460" t="s">
        <v>871</v>
      </c>
      <c r="B45" s="460"/>
      <c r="C45" s="460"/>
      <c r="D45" s="460"/>
      <c r="E45" s="461">
        <f>E41+E34</f>
        <v>59599968609</v>
      </c>
    </row>
    <row r="47" spans="1:5" ht="34.5" customHeight="1">
      <c r="A47" s="914" t="s">
        <v>901</v>
      </c>
      <c r="B47" s="1171"/>
      <c r="C47" s="1171"/>
      <c r="D47" s="1171"/>
      <c r="E47" s="1171"/>
    </row>
    <row r="48" spans="1:5">
      <c r="A48" s="1172" t="s">
        <v>878</v>
      </c>
      <c r="B48" s="1172"/>
      <c r="C48" s="1172"/>
      <c r="D48" s="1172"/>
      <c r="E48" s="1172"/>
    </row>
    <row r="49" spans="1:5" ht="15.75">
      <c r="A49" s="455" t="s">
        <v>774</v>
      </c>
      <c r="B49" s="455" t="s">
        <v>864</v>
      </c>
      <c r="C49" s="455" t="s">
        <v>865</v>
      </c>
      <c r="D49" s="455" t="s">
        <v>866</v>
      </c>
      <c r="E49" s="455" t="s">
        <v>775</v>
      </c>
    </row>
    <row r="50" spans="1:5" ht="135">
      <c r="A50" s="457" t="s">
        <v>879</v>
      </c>
      <c r="B50" s="456" t="s">
        <v>59</v>
      </c>
      <c r="C50" s="462" t="s">
        <v>180</v>
      </c>
      <c r="D50" s="457" t="s">
        <v>906</v>
      </c>
      <c r="E50" s="463">
        <v>0</v>
      </c>
    </row>
    <row r="51" spans="1:5" ht="30">
      <c r="A51" s="1173" t="s">
        <v>880</v>
      </c>
      <c r="B51" s="459"/>
      <c r="C51" s="1173" t="s">
        <v>184</v>
      </c>
      <c r="D51" s="457" t="s">
        <v>727</v>
      </c>
      <c r="E51" s="1174">
        <v>262068277</v>
      </c>
    </row>
    <row r="52" spans="1:5" ht="15.75">
      <c r="A52" s="1173"/>
      <c r="B52" s="459"/>
      <c r="C52" s="1173"/>
      <c r="D52" s="457" t="s">
        <v>463</v>
      </c>
      <c r="E52" s="1174"/>
    </row>
    <row r="53" spans="1:5" ht="30">
      <c r="A53" s="1173"/>
      <c r="B53" s="459"/>
      <c r="C53" s="1173"/>
      <c r="D53" s="457" t="s">
        <v>881</v>
      </c>
      <c r="E53" s="1174"/>
    </row>
    <row r="54" spans="1:5" ht="45">
      <c r="A54" s="1156" t="s">
        <v>882</v>
      </c>
      <c r="B54" s="459"/>
      <c r="C54" s="1156" t="s">
        <v>195</v>
      </c>
      <c r="D54" s="457" t="s">
        <v>832</v>
      </c>
      <c r="E54" s="1165">
        <v>295834544</v>
      </c>
    </row>
    <row r="55" spans="1:5" ht="73.5" customHeight="1">
      <c r="A55" s="1157"/>
      <c r="B55" s="459"/>
      <c r="C55" s="1157"/>
      <c r="D55" s="457" t="s">
        <v>833</v>
      </c>
      <c r="E55" s="1166"/>
    </row>
    <row r="56" spans="1:5" ht="30">
      <c r="A56" s="1157"/>
      <c r="B56" s="459"/>
      <c r="C56" s="1157"/>
      <c r="D56" s="457" t="s">
        <v>402</v>
      </c>
      <c r="E56" s="1166"/>
    </row>
    <row r="57" spans="1:5" ht="30">
      <c r="A57" s="1158"/>
      <c r="B57" s="459"/>
      <c r="C57" s="1158"/>
      <c r="D57" s="457" t="s">
        <v>834</v>
      </c>
      <c r="E57" s="1167"/>
    </row>
    <row r="58" spans="1:5" ht="90">
      <c r="A58" s="1156" t="s">
        <v>883</v>
      </c>
      <c r="B58" s="464"/>
      <c r="C58" s="1156" t="s">
        <v>208</v>
      </c>
      <c r="D58" s="465" t="s">
        <v>838</v>
      </c>
      <c r="E58" s="1165">
        <v>3542000000</v>
      </c>
    </row>
    <row r="59" spans="1:5" ht="45">
      <c r="A59" s="1157"/>
      <c r="B59" s="459"/>
      <c r="C59" s="1157"/>
      <c r="D59" s="457" t="s">
        <v>841</v>
      </c>
      <c r="E59" s="1166"/>
    </row>
    <row r="60" spans="1:5" ht="60">
      <c r="A60" s="1158"/>
      <c r="B60" s="459"/>
      <c r="C60" s="1158"/>
      <c r="D60" s="457" t="s">
        <v>840</v>
      </c>
      <c r="E60" s="1167"/>
    </row>
    <row r="61" spans="1:5" ht="15.75">
      <c r="A61" s="460" t="s">
        <v>871</v>
      </c>
      <c r="B61" s="460"/>
      <c r="C61" s="460"/>
      <c r="D61" s="460"/>
      <c r="E61" s="461">
        <f>E58+E54+E51+E50</f>
        <v>4099902821</v>
      </c>
    </row>
    <row r="64" spans="1:5" ht="44.25" customHeight="1">
      <c r="A64" s="914" t="s">
        <v>901</v>
      </c>
      <c r="B64" s="1171"/>
      <c r="C64" s="1171"/>
      <c r="D64" s="1171"/>
      <c r="E64" s="1171"/>
    </row>
    <row r="65" spans="1:5">
      <c r="A65" s="1172" t="s">
        <v>884</v>
      </c>
      <c r="B65" s="1172"/>
      <c r="C65" s="1172"/>
      <c r="D65" s="1172"/>
      <c r="E65" s="1172"/>
    </row>
    <row r="66" spans="1:5" ht="15.75">
      <c r="A66" s="455" t="s">
        <v>774</v>
      </c>
      <c r="B66" s="455" t="s">
        <v>864</v>
      </c>
      <c r="C66" s="455" t="s">
        <v>865</v>
      </c>
      <c r="D66" s="455" t="s">
        <v>866</v>
      </c>
      <c r="E66" s="455" t="s">
        <v>775</v>
      </c>
    </row>
    <row r="67" spans="1:5" ht="75">
      <c r="A67" s="1156" t="s">
        <v>885</v>
      </c>
      <c r="B67" s="456"/>
      <c r="C67" s="1156" t="s">
        <v>504</v>
      </c>
      <c r="D67" s="457" t="s">
        <v>731</v>
      </c>
      <c r="E67" s="1165">
        <v>184000000</v>
      </c>
    </row>
    <row r="68" spans="1:5" ht="60">
      <c r="A68" s="1157"/>
      <c r="B68" s="455"/>
      <c r="C68" s="1157"/>
      <c r="D68" s="457" t="s">
        <v>732</v>
      </c>
      <c r="E68" s="1166"/>
    </row>
    <row r="69" spans="1:5" ht="60">
      <c r="A69" s="1157"/>
      <c r="B69" s="455"/>
      <c r="C69" s="1157"/>
      <c r="D69" s="457" t="s">
        <v>733</v>
      </c>
      <c r="E69" s="1166"/>
    </row>
    <row r="70" spans="1:5" ht="60">
      <c r="A70" s="1173" t="s">
        <v>886</v>
      </c>
      <c r="B70" s="459"/>
      <c r="C70" s="1173" t="s">
        <v>237</v>
      </c>
      <c r="D70" s="466" t="s">
        <v>907</v>
      </c>
      <c r="E70" s="1174">
        <v>241717734</v>
      </c>
    </row>
    <row r="71" spans="1:5" ht="75">
      <c r="A71" s="1173"/>
      <c r="B71" s="459"/>
      <c r="C71" s="1173"/>
      <c r="D71" s="457" t="s">
        <v>845</v>
      </c>
      <c r="E71" s="1174"/>
    </row>
    <row r="72" spans="1:5" ht="45">
      <c r="A72" s="1173"/>
      <c r="B72" s="459"/>
      <c r="C72" s="1173"/>
      <c r="D72" s="457" t="s">
        <v>422</v>
      </c>
      <c r="E72" s="1174"/>
    </row>
    <row r="73" spans="1:5" ht="15.75">
      <c r="A73" s="460" t="s">
        <v>871</v>
      </c>
      <c r="B73" s="460"/>
      <c r="C73" s="460"/>
      <c r="D73" s="460"/>
      <c r="E73" s="461">
        <f>E67+E70</f>
        <v>425717734</v>
      </c>
    </row>
    <row r="77" spans="1:5" ht="47.25" customHeight="1">
      <c r="A77" s="914" t="s">
        <v>901</v>
      </c>
      <c r="B77" s="1171"/>
      <c r="C77" s="1171"/>
      <c r="D77" s="1171"/>
      <c r="E77" s="1171"/>
    </row>
    <row r="78" spans="1:5">
      <c r="A78" s="1172" t="s">
        <v>887</v>
      </c>
      <c r="B78" s="1172"/>
      <c r="C78" s="1172"/>
      <c r="D78" s="1172"/>
      <c r="E78" s="1172"/>
    </row>
    <row r="79" spans="1:5" ht="15.75">
      <c r="A79" s="455" t="s">
        <v>774</v>
      </c>
      <c r="B79" s="455" t="s">
        <v>864</v>
      </c>
      <c r="C79" s="455" t="s">
        <v>865</v>
      </c>
      <c r="D79" s="455" t="s">
        <v>866</v>
      </c>
      <c r="E79" s="455" t="s">
        <v>775</v>
      </c>
    </row>
    <row r="80" spans="1:5" ht="82.5" customHeight="1">
      <c r="A80" s="467" t="s">
        <v>888</v>
      </c>
      <c r="B80" s="456"/>
      <c r="C80" s="467" t="s">
        <v>254</v>
      </c>
      <c r="D80" s="457" t="s">
        <v>563</v>
      </c>
      <c r="E80" s="468">
        <v>252052566</v>
      </c>
    </row>
    <row r="81" spans="1:5" ht="120">
      <c r="A81" s="457" t="s">
        <v>889</v>
      </c>
      <c r="B81" s="459"/>
      <c r="C81" s="457" t="s">
        <v>261</v>
      </c>
      <c r="D81" s="466" t="s">
        <v>850</v>
      </c>
      <c r="E81" s="463">
        <v>0</v>
      </c>
    </row>
    <row r="82" spans="1:5" ht="15.75">
      <c r="A82" s="460" t="s">
        <v>871</v>
      </c>
      <c r="B82" s="460"/>
      <c r="C82" s="460"/>
      <c r="D82" s="460"/>
      <c r="E82" s="461">
        <f>E80+E81</f>
        <v>252052566</v>
      </c>
    </row>
    <row r="85" spans="1:5" ht="42.75" customHeight="1">
      <c r="A85" s="914" t="s">
        <v>901</v>
      </c>
      <c r="B85" s="1171"/>
      <c r="C85" s="1171"/>
      <c r="D85" s="1171"/>
      <c r="E85" s="1171"/>
    </row>
    <row r="86" spans="1:5">
      <c r="A86" s="1172" t="s">
        <v>890</v>
      </c>
      <c r="B86" s="1172"/>
      <c r="C86" s="1172"/>
      <c r="D86" s="1172"/>
      <c r="E86" s="1172"/>
    </row>
    <row r="87" spans="1:5" ht="15.75">
      <c r="A87" s="455" t="s">
        <v>774</v>
      </c>
      <c r="B87" s="455" t="s">
        <v>864</v>
      </c>
      <c r="C87" s="455" t="s">
        <v>865</v>
      </c>
      <c r="D87" s="455" t="s">
        <v>866</v>
      </c>
      <c r="E87" s="455" t="s">
        <v>775</v>
      </c>
    </row>
    <row r="88" spans="1:5" ht="60">
      <c r="A88" s="1156" t="s">
        <v>891</v>
      </c>
      <c r="B88" s="455"/>
      <c r="C88" s="1156" t="s">
        <v>892</v>
      </c>
      <c r="D88" s="457" t="s">
        <v>740</v>
      </c>
      <c r="E88" s="1168">
        <v>392400000</v>
      </c>
    </row>
    <row r="89" spans="1:5" ht="60">
      <c r="A89" s="1157"/>
      <c r="B89" s="455"/>
      <c r="C89" s="1157"/>
      <c r="D89" s="457" t="s">
        <v>853</v>
      </c>
      <c r="E89" s="1169"/>
    </row>
    <row r="90" spans="1:5" ht="30">
      <c r="A90" s="1157"/>
      <c r="B90" s="455"/>
      <c r="C90" s="1157"/>
      <c r="D90" s="457" t="s">
        <v>744</v>
      </c>
      <c r="E90" s="1170"/>
    </row>
    <row r="91" spans="1:5" ht="15.75">
      <c r="A91" s="460" t="s">
        <v>871</v>
      </c>
      <c r="B91" s="460"/>
      <c r="C91" s="460"/>
      <c r="D91" s="460"/>
      <c r="E91" s="461">
        <f>E88</f>
        <v>392400000</v>
      </c>
    </row>
    <row r="94" spans="1:5" ht="44.25" customHeight="1">
      <c r="A94" s="914" t="s">
        <v>901</v>
      </c>
      <c r="B94" s="1171"/>
      <c r="C94" s="1171"/>
      <c r="D94" s="1171"/>
      <c r="E94" s="1171"/>
    </row>
    <row r="95" spans="1:5">
      <c r="A95" s="1172" t="s">
        <v>893</v>
      </c>
      <c r="B95" s="1172"/>
      <c r="C95" s="1172"/>
      <c r="D95" s="1172"/>
      <c r="E95" s="1172"/>
    </row>
    <row r="96" spans="1:5" ht="15.75">
      <c r="A96" s="455" t="s">
        <v>774</v>
      </c>
      <c r="B96" s="455" t="s">
        <v>864</v>
      </c>
      <c r="C96" s="455" t="s">
        <v>865</v>
      </c>
      <c r="D96" s="455" t="s">
        <v>866</v>
      </c>
      <c r="E96" s="455" t="s">
        <v>775</v>
      </c>
    </row>
    <row r="97" spans="1:5" ht="75.75" customHeight="1">
      <c r="A97" s="1173" t="s">
        <v>894</v>
      </c>
      <c r="B97" s="455"/>
      <c r="C97" s="1173" t="s">
        <v>277</v>
      </c>
      <c r="D97" s="458" t="s">
        <v>908</v>
      </c>
      <c r="E97" s="1165">
        <v>2272664045</v>
      </c>
    </row>
    <row r="98" spans="1:5" ht="30.75">
      <c r="A98" s="1173"/>
      <c r="B98" s="455"/>
      <c r="C98" s="1173"/>
      <c r="D98" s="458" t="s">
        <v>746</v>
      </c>
      <c r="E98" s="1166"/>
    </row>
    <row r="99" spans="1:5" ht="30.75">
      <c r="A99" s="1156" t="s">
        <v>895</v>
      </c>
      <c r="B99" s="455"/>
      <c r="C99" s="1156" t="s">
        <v>896</v>
      </c>
      <c r="D99" s="469" t="s">
        <v>857</v>
      </c>
      <c r="E99" s="1166"/>
    </row>
    <row r="100" spans="1:5" ht="30.75">
      <c r="A100" s="1157"/>
      <c r="B100" s="455"/>
      <c r="C100" s="1157"/>
      <c r="D100" s="469" t="s">
        <v>909</v>
      </c>
      <c r="E100" s="1166"/>
    </row>
    <row r="101" spans="1:5" ht="45.75">
      <c r="A101" s="1157"/>
      <c r="B101" s="455"/>
      <c r="C101" s="1157"/>
      <c r="D101" s="469" t="s">
        <v>858</v>
      </c>
      <c r="E101" s="1166"/>
    </row>
    <row r="102" spans="1:5" ht="60.75" customHeight="1">
      <c r="A102" s="1153" t="s">
        <v>897</v>
      </c>
      <c r="B102" s="455"/>
      <c r="C102" s="1156" t="s">
        <v>281</v>
      </c>
      <c r="D102" s="457" t="s">
        <v>752</v>
      </c>
      <c r="E102" s="1166"/>
    </row>
    <row r="103" spans="1:5" ht="15.75">
      <c r="A103" s="1154"/>
      <c r="B103" s="455"/>
      <c r="C103" s="1157"/>
      <c r="D103" s="457" t="s">
        <v>753</v>
      </c>
      <c r="E103" s="1166"/>
    </row>
    <row r="104" spans="1:5" ht="15.75">
      <c r="A104" s="1155"/>
      <c r="B104" s="455"/>
      <c r="C104" s="1158"/>
      <c r="D104" s="457" t="s">
        <v>448</v>
      </c>
      <c r="E104" s="1167"/>
    </row>
    <row r="105" spans="1:5" ht="15.75">
      <c r="A105" s="460" t="s">
        <v>871</v>
      </c>
      <c r="B105" s="460"/>
      <c r="C105" s="460"/>
      <c r="D105" s="460"/>
      <c r="E105" s="461">
        <f>E102+E99+E97</f>
        <v>2272664045</v>
      </c>
    </row>
    <row r="109" spans="1:5" ht="15" customHeight="1">
      <c r="A109" s="1159" t="s">
        <v>901</v>
      </c>
      <c r="B109" s="1160"/>
      <c r="C109" s="1161"/>
    </row>
    <row r="110" spans="1:5">
      <c r="A110" s="1162"/>
      <c r="B110" s="1163"/>
      <c r="C110" s="1164"/>
    </row>
    <row r="111" spans="1:5">
      <c r="A111" s="470" t="s">
        <v>898</v>
      </c>
      <c r="B111" s="470"/>
      <c r="C111" s="470" t="s">
        <v>775</v>
      </c>
    </row>
    <row r="112" spans="1:5" ht="32.25" customHeight="1">
      <c r="A112" s="476" t="s">
        <v>910</v>
      </c>
      <c r="B112" s="437"/>
      <c r="C112" s="474">
        <f>E15</f>
        <v>876375074</v>
      </c>
    </row>
    <row r="113" spans="1:5" ht="30">
      <c r="A113" s="477" t="s">
        <v>679</v>
      </c>
      <c r="B113" s="437"/>
      <c r="C113" s="474">
        <f>E45</f>
        <v>59599968609</v>
      </c>
    </row>
    <row r="114" spans="1:5">
      <c r="A114" s="478" t="s">
        <v>678</v>
      </c>
      <c r="B114" s="437"/>
      <c r="C114" s="474">
        <f>E27</f>
        <v>86291752748</v>
      </c>
    </row>
    <row r="115" spans="1:5">
      <c r="A115" s="478" t="s">
        <v>677</v>
      </c>
      <c r="B115" s="437"/>
      <c r="C115" s="474">
        <f>E61</f>
        <v>4099902821</v>
      </c>
    </row>
    <row r="116" spans="1:5" ht="30">
      <c r="A116" s="477" t="s">
        <v>676</v>
      </c>
      <c r="B116" s="437"/>
      <c r="C116" s="474">
        <f>E73</f>
        <v>425717734</v>
      </c>
    </row>
    <row r="117" spans="1:5" ht="30">
      <c r="A117" s="477" t="s">
        <v>675</v>
      </c>
      <c r="B117" s="437"/>
      <c r="C117" s="474">
        <f>E82</f>
        <v>252052566</v>
      </c>
    </row>
    <row r="118" spans="1:5" ht="30">
      <c r="A118" s="477" t="s">
        <v>674</v>
      </c>
      <c r="B118" s="437"/>
      <c r="C118" s="474">
        <f>E91</f>
        <v>392400000</v>
      </c>
    </row>
    <row r="119" spans="1:5" ht="30">
      <c r="A119" s="477" t="s">
        <v>673</v>
      </c>
      <c r="B119" s="437"/>
      <c r="C119" s="474">
        <f>E105</f>
        <v>2272664045</v>
      </c>
    </row>
    <row r="120" spans="1:5" ht="23.25">
      <c r="A120" s="478" t="s">
        <v>792</v>
      </c>
      <c r="B120" s="437"/>
      <c r="C120" s="475">
        <f>SUM(C112:C119)</f>
        <v>154210833597</v>
      </c>
      <c r="D120" s="379">
        <f>E120-C120</f>
        <v>0</v>
      </c>
      <c r="E120" s="12">
        <v>154210833597</v>
      </c>
    </row>
    <row r="124" spans="1:5">
      <c r="D124" s="473">
        <f>C120-C127</f>
        <v>0</v>
      </c>
    </row>
    <row r="127" spans="1:5">
      <c r="C127" s="472">
        <v>154210833597</v>
      </c>
    </row>
  </sheetData>
  <mergeCells count="62">
    <mergeCell ref="A8:A11"/>
    <mergeCell ref="C8:C11"/>
    <mergeCell ref="E8:E11"/>
    <mergeCell ref="A2:E2"/>
    <mergeCell ref="A3:E3"/>
    <mergeCell ref="A5:A7"/>
    <mergeCell ref="C5:C7"/>
    <mergeCell ref="E5:E7"/>
    <mergeCell ref="A12:A14"/>
    <mergeCell ref="C12:C14"/>
    <mergeCell ref="E12:E14"/>
    <mergeCell ref="A19:E19"/>
    <mergeCell ref="A20:E20"/>
    <mergeCell ref="A51:A53"/>
    <mergeCell ref="C51:C53"/>
    <mergeCell ref="E51:E53"/>
    <mergeCell ref="A25:A26"/>
    <mergeCell ref="C25:C26"/>
    <mergeCell ref="A31:E31"/>
    <mergeCell ref="A32:E32"/>
    <mergeCell ref="A34:A40"/>
    <mergeCell ref="C34:C40"/>
    <mergeCell ref="E34:E40"/>
    <mergeCell ref="E22:E26"/>
    <mergeCell ref="A22:A24"/>
    <mergeCell ref="C22:C24"/>
    <mergeCell ref="A41:A44"/>
    <mergeCell ref="C41:C44"/>
    <mergeCell ref="E41:E44"/>
    <mergeCell ref="A47:E47"/>
    <mergeCell ref="A48:E48"/>
    <mergeCell ref="A70:A72"/>
    <mergeCell ref="C70:C72"/>
    <mergeCell ref="E70:E72"/>
    <mergeCell ref="A54:A57"/>
    <mergeCell ref="C54:C57"/>
    <mergeCell ref="E54:E57"/>
    <mergeCell ref="A58:A60"/>
    <mergeCell ref="C58:C60"/>
    <mergeCell ref="E58:E60"/>
    <mergeCell ref="A64:E64"/>
    <mergeCell ref="A65:E65"/>
    <mergeCell ref="A67:A69"/>
    <mergeCell ref="C67:C69"/>
    <mergeCell ref="E67:E69"/>
    <mergeCell ref="A77:E77"/>
    <mergeCell ref="A78:E78"/>
    <mergeCell ref="A85:E85"/>
    <mergeCell ref="A86:E86"/>
    <mergeCell ref="A88:A90"/>
    <mergeCell ref="C88:C90"/>
    <mergeCell ref="A102:A104"/>
    <mergeCell ref="C102:C104"/>
    <mergeCell ref="A109:C110"/>
    <mergeCell ref="E97:E104"/>
    <mergeCell ref="E88:E90"/>
    <mergeCell ref="A94:E94"/>
    <mergeCell ref="A95:E95"/>
    <mergeCell ref="A97:A98"/>
    <mergeCell ref="C97:C98"/>
    <mergeCell ref="A99:A101"/>
    <mergeCell ref="C99:C10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5B65A-5539-49C7-A0AF-E10E665AD420}">
  <dimension ref="A1:I15"/>
  <sheetViews>
    <sheetView workbookViewId="0">
      <selection activeCell="E12" sqref="E12:E14"/>
    </sheetView>
  </sheetViews>
  <sheetFormatPr baseColWidth="10" defaultRowHeight="15"/>
  <cols>
    <col min="2" max="2" width="39.28515625" customWidth="1"/>
    <col min="3" max="5" width="31" customWidth="1"/>
    <col min="6" max="6" width="46.140625" customWidth="1"/>
    <col min="9" max="9" width="18.28515625" bestFit="1" customWidth="1"/>
  </cols>
  <sheetData>
    <row r="1" spans="1:9">
      <c r="A1" s="914" t="s">
        <v>901</v>
      </c>
      <c r="B1" s="1171"/>
      <c r="C1" s="1171"/>
      <c r="D1" s="1171"/>
      <c r="E1" s="1171"/>
      <c r="F1" s="1171"/>
    </row>
    <row r="2" spans="1:9">
      <c r="A2" s="1172" t="s">
        <v>875</v>
      </c>
      <c r="B2" s="1172"/>
      <c r="C2" s="1172"/>
      <c r="D2" s="1172"/>
      <c r="E2" s="1172"/>
      <c r="F2" s="1172"/>
    </row>
    <row r="3" spans="1:9" ht="15.75">
      <c r="A3" s="455" t="s">
        <v>774</v>
      </c>
      <c r="B3" s="455" t="s">
        <v>865</v>
      </c>
      <c r="C3" s="455" t="s">
        <v>866</v>
      </c>
      <c r="D3" s="455" t="s">
        <v>917</v>
      </c>
      <c r="E3" s="455" t="s">
        <v>775</v>
      </c>
      <c r="F3" s="455" t="s">
        <v>916</v>
      </c>
    </row>
    <row r="4" spans="1:9" ht="75" customHeight="1">
      <c r="A4" s="1173" t="s">
        <v>876</v>
      </c>
      <c r="B4" s="1175" t="s">
        <v>76</v>
      </c>
      <c r="C4" s="457" t="s">
        <v>468</v>
      </c>
      <c r="D4" s="1156" t="s">
        <v>919</v>
      </c>
      <c r="E4" s="1184">
        <v>3136460946</v>
      </c>
      <c r="F4" s="1174">
        <v>3136460946</v>
      </c>
    </row>
    <row r="5" spans="1:9" ht="30">
      <c r="A5" s="1173"/>
      <c r="B5" s="1175"/>
      <c r="C5" s="457" t="s">
        <v>470</v>
      </c>
      <c r="D5" s="1157"/>
      <c r="E5" s="1184"/>
      <c r="F5" s="1174"/>
    </row>
    <row r="6" spans="1:9" ht="45">
      <c r="A6" s="1173"/>
      <c r="B6" s="1175"/>
      <c r="C6" s="457" t="s">
        <v>471</v>
      </c>
      <c r="D6" s="1157"/>
      <c r="E6" s="1184"/>
      <c r="F6" s="1174"/>
    </row>
    <row r="7" spans="1:9" ht="30">
      <c r="A7" s="1173"/>
      <c r="B7" s="1175"/>
      <c r="C7" s="457" t="s">
        <v>472</v>
      </c>
      <c r="D7" s="1157"/>
      <c r="E7" s="1184"/>
      <c r="F7" s="1174"/>
    </row>
    <row r="8" spans="1:9" ht="30">
      <c r="A8" s="1173"/>
      <c r="B8" s="1175"/>
      <c r="C8" s="457" t="s">
        <v>475</v>
      </c>
      <c r="D8" s="1157"/>
      <c r="E8" s="1184"/>
      <c r="F8" s="1174"/>
    </row>
    <row r="9" spans="1:9" ht="30">
      <c r="A9" s="1173"/>
      <c r="B9" s="1175"/>
      <c r="C9" s="457" t="s">
        <v>476</v>
      </c>
      <c r="D9" s="1157"/>
      <c r="E9" s="1184"/>
      <c r="F9" s="1174"/>
    </row>
    <row r="10" spans="1:9" ht="30">
      <c r="A10" s="1173"/>
      <c r="B10" s="1175"/>
      <c r="C10" s="457" t="s">
        <v>759</v>
      </c>
      <c r="D10" s="1158"/>
      <c r="E10" s="1184"/>
      <c r="F10" s="1174"/>
    </row>
    <row r="11" spans="1:9" ht="45">
      <c r="A11" s="1156" t="s">
        <v>877</v>
      </c>
      <c r="B11" s="1156" t="s">
        <v>165</v>
      </c>
      <c r="C11" s="457" t="s">
        <v>708</v>
      </c>
      <c r="D11" s="484" t="s">
        <v>918</v>
      </c>
      <c r="E11" s="482">
        <v>39777089283</v>
      </c>
      <c r="F11" s="1165">
        <v>56463507663</v>
      </c>
    </row>
    <row r="12" spans="1:9" ht="60" customHeight="1">
      <c r="A12" s="1157"/>
      <c r="B12" s="1157"/>
      <c r="C12" s="457" t="s">
        <v>709</v>
      </c>
      <c r="D12" s="1178" t="s">
        <v>920</v>
      </c>
      <c r="E12" s="1181">
        <f>12547991965.475+4138426414.52</f>
        <v>16686418379.995001</v>
      </c>
      <c r="F12" s="1166"/>
    </row>
    <row r="13" spans="1:9" ht="180">
      <c r="A13" s="1157"/>
      <c r="B13" s="1157"/>
      <c r="C13" s="457" t="s">
        <v>710</v>
      </c>
      <c r="D13" s="1179"/>
      <c r="E13" s="1182"/>
      <c r="F13" s="1166"/>
      <c r="I13" s="483"/>
    </row>
    <row r="14" spans="1:9" ht="45">
      <c r="A14" s="1157"/>
      <c r="B14" s="1157"/>
      <c r="C14" s="457" t="s">
        <v>712</v>
      </c>
      <c r="D14" s="1180"/>
      <c r="E14" s="1183"/>
      <c r="F14" s="1166"/>
    </row>
    <row r="15" spans="1:9" ht="15.75">
      <c r="A15" s="460" t="s">
        <v>871</v>
      </c>
      <c r="B15" s="460"/>
      <c r="C15" s="460"/>
      <c r="D15" s="460"/>
      <c r="E15" s="460"/>
      <c r="F15" s="461">
        <f>F11+F4</f>
        <v>59599968609</v>
      </c>
    </row>
  </sheetData>
  <mergeCells count="12">
    <mergeCell ref="D12:D14"/>
    <mergeCell ref="E12:E14"/>
    <mergeCell ref="D4:D10"/>
    <mergeCell ref="E4:E10"/>
    <mergeCell ref="A1:F1"/>
    <mergeCell ref="A2:F2"/>
    <mergeCell ref="A4:A10"/>
    <mergeCell ref="B4:B10"/>
    <mergeCell ref="F4:F10"/>
    <mergeCell ref="A11:A14"/>
    <mergeCell ref="B11:B14"/>
    <mergeCell ref="F11:F14"/>
  </mergeCells>
  <pageMargins left="0.70866141732283472" right="0.70866141732283472" top="0.74803149606299213" bottom="0.74803149606299213" header="0.31496062992125984" footer="0.31496062992125984"/>
  <pageSetup scale="6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7AAEA-32EF-4BB9-A715-F2DE07E846E5}">
  <dimension ref="A1:H18"/>
  <sheetViews>
    <sheetView view="pageBreakPreview" topLeftCell="B1" zoomScale="60" zoomScaleNormal="100" workbookViewId="0">
      <selection activeCell="M10" sqref="M10"/>
    </sheetView>
  </sheetViews>
  <sheetFormatPr baseColWidth="10" defaultRowHeight="15"/>
  <cols>
    <col min="1" max="1" width="35.5703125" customWidth="1"/>
    <col min="2" max="2" width="34.140625" customWidth="1"/>
    <col min="3" max="3" width="34.85546875" customWidth="1"/>
    <col min="4" max="4" width="51.85546875" customWidth="1"/>
    <col min="5" max="5" width="34.85546875" customWidth="1"/>
    <col min="6" max="6" width="41.42578125" customWidth="1"/>
    <col min="8" max="8" width="18.28515625" bestFit="1" customWidth="1"/>
  </cols>
  <sheetData>
    <row r="1" spans="1:8">
      <c r="A1" s="914" t="s">
        <v>901</v>
      </c>
      <c r="B1" s="1171"/>
      <c r="C1" s="1171"/>
      <c r="D1" s="1171"/>
      <c r="E1" s="1171"/>
      <c r="F1" s="1171"/>
    </row>
    <row r="2" spans="1:8">
      <c r="A2" s="1172" t="s">
        <v>872</v>
      </c>
      <c r="B2" s="1172"/>
      <c r="C2" s="1172"/>
      <c r="D2" s="1172"/>
      <c r="E2" s="1172"/>
      <c r="F2" s="1172"/>
    </row>
    <row r="3" spans="1:8" ht="15.75">
      <c r="A3" s="455" t="s">
        <v>774</v>
      </c>
      <c r="B3" s="455" t="s">
        <v>865</v>
      </c>
      <c r="C3" s="455" t="s">
        <v>866</v>
      </c>
      <c r="D3" s="455" t="s">
        <v>915</v>
      </c>
      <c r="E3" s="455" t="s">
        <v>775</v>
      </c>
      <c r="F3" s="455" t="s">
        <v>916</v>
      </c>
    </row>
    <row r="4" spans="1:8" ht="150" customHeight="1">
      <c r="A4" s="1173" t="s">
        <v>873</v>
      </c>
      <c r="B4" s="1173" t="s">
        <v>134</v>
      </c>
      <c r="C4" s="1156" t="s">
        <v>797</v>
      </c>
      <c r="D4" s="485" t="s">
        <v>921</v>
      </c>
      <c r="E4" s="482">
        <f>39748140696+E5</f>
        <v>49488026185</v>
      </c>
      <c r="F4" s="1165">
        <v>86291752748</v>
      </c>
    </row>
    <row r="5" spans="1:8" ht="150" hidden="1" customHeight="1">
      <c r="A5" s="1173"/>
      <c r="B5" s="1173"/>
      <c r="C5" s="1158"/>
      <c r="D5" s="490" t="s">
        <v>926</v>
      </c>
      <c r="E5" s="491">
        <f>7339885489+2400000000</f>
        <v>9739885489</v>
      </c>
      <c r="F5" s="1166"/>
    </row>
    <row r="6" spans="1:8" ht="30">
      <c r="A6" s="1173"/>
      <c r="B6" s="1173"/>
      <c r="C6" s="457" t="s">
        <v>802</v>
      </c>
      <c r="D6" s="1185" t="s">
        <v>922</v>
      </c>
      <c r="E6" s="1181">
        <v>22050000000</v>
      </c>
      <c r="F6" s="1166"/>
    </row>
    <row r="7" spans="1:8" ht="75">
      <c r="A7" s="1173"/>
      <c r="B7" s="1173"/>
      <c r="C7" s="457" t="s">
        <v>814</v>
      </c>
      <c r="D7" s="1186"/>
      <c r="E7" s="1183"/>
      <c r="F7" s="1166"/>
    </row>
    <row r="8" spans="1:8" ht="75" customHeight="1">
      <c r="A8" s="1173"/>
      <c r="B8" s="1173"/>
      <c r="C8" s="1156" t="s">
        <v>821</v>
      </c>
      <c r="D8" s="488" t="s">
        <v>927</v>
      </c>
      <c r="E8" s="431">
        <f>9866922452+108650000+632690880</f>
        <v>10608263332</v>
      </c>
      <c r="F8" s="1166"/>
    </row>
    <row r="9" spans="1:8">
      <c r="A9" s="1173"/>
      <c r="B9" s="1173"/>
      <c r="C9" s="1157"/>
      <c r="D9" s="462" t="s">
        <v>923</v>
      </c>
      <c r="E9" s="482">
        <v>1032521508.5</v>
      </c>
      <c r="F9" s="1166"/>
    </row>
    <row r="10" spans="1:8">
      <c r="A10" s="1173"/>
      <c r="B10" s="1173"/>
      <c r="C10" s="1157"/>
      <c r="D10" s="462" t="s">
        <v>925</v>
      </c>
      <c r="E10" s="482">
        <v>335796722</v>
      </c>
      <c r="F10" s="1166"/>
    </row>
    <row r="11" spans="1:8">
      <c r="A11" s="1173"/>
      <c r="B11" s="1173"/>
      <c r="C11" s="1157"/>
      <c r="D11" s="462" t="s">
        <v>924</v>
      </c>
      <c r="E11" s="482">
        <v>2777145000</v>
      </c>
      <c r="F11" s="1166"/>
    </row>
    <row r="12" spans="1:8" ht="60">
      <c r="A12" s="1157" t="s">
        <v>874</v>
      </c>
      <c r="B12" s="1157" t="s">
        <v>160</v>
      </c>
      <c r="C12" s="457" t="s">
        <v>826</v>
      </c>
      <c r="D12" s="487"/>
      <c r="E12" s="486"/>
      <c r="F12" s="1166"/>
    </row>
    <row r="13" spans="1:8" ht="105">
      <c r="A13" s="1157"/>
      <c r="B13" s="1157"/>
      <c r="C13" s="457" t="s">
        <v>825</v>
      </c>
      <c r="D13" s="462"/>
      <c r="E13" s="482"/>
      <c r="F13" s="1167"/>
    </row>
    <row r="14" spans="1:8" ht="15.75">
      <c r="A14" s="460" t="s">
        <v>871</v>
      </c>
      <c r="B14" s="460"/>
      <c r="C14" s="460"/>
      <c r="D14" s="460"/>
      <c r="E14" s="489">
        <f>E11+E10+E9+E8+E6+E4</f>
        <v>86291752747.5</v>
      </c>
      <c r="F14" s="461">
        <f>F4+F9</f>
        <v>86291752748</v>
      </c>
      <c r="H14" s="483">
        <f>F14-E14</f>
        <v>0.5</v>
      </c>
    </row>
    <row r="18" spans="8:8">
      <c r="H18">
        <f>7339885489+2400000000</f>
        <v>9739885489</v>
      </c>
    </row>
  </sheetData>
  <mergeCells count="11">
    <mergeCell ref="A12:A13"/>
    <mergeCell ref="A4:A11"/>
    <mergeCell ref="B4:B11"/>
    <mergeCell ref="A1:F1"/>
    <mergeCell ref="A2:F2"/>
    <mergeCell ref="C4:C5"/>
    <mergeCell ref="D6:D7"/>
    <mergeCell ref="E6:E7"/>
    <mergeCell ref="C8:C11"/>
    <mergeCell ref="F4:F13"/>
    <mergeCell ref="B12:B13"/>
  </mergeCells>
  <pageMargins left="0.70866141732283472" right="0.70866141732283472" top="0.74803149606299213" bottom="0.74803149606299213" header="0.31496062992125984" footer="0.31496062992125984"/>
  <pageSetup scale="52" orientation="landscape"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POAI 2022 </vt:lpstr>
      <vt:lpstr>SEGUNDO TRIMESTRE</vt:lpstr>
      <vt:lpstr>TERCER TRIMESTRE	</vt:lpstr>
      <vt:lpstr>CUARTO TRIMESTRE</vt:lpstr>
      <vt:lpstr>consolidado activ trimestres</vt:lpstr>
      <vt:lpstr>consolidad finaciero2022</vt:lpstr>
      <vt:lpstr>PLAN DE GESTIÓN</vt:lpstr>
      <vt:lpstr>avances del plan</vt:lpstr>
      <vt:lpstr> GRAFICOS 1 TRIMESTRE</vt:lpstr>
      <vt:lpstr>GRAFICOS 1 -2 TRIMESTRE</vt:lpstr>
      <vt:lpstr>GRAFICOS TERCER TRIMESTRE</vt:lpstr>
      <vt:lpstr>GRAFICOS 4 TRIMESTRE</vt:lpstr>
      <vt:lpstr>LINEA 1	SEGUIMIENTO DEL PLAN OP</vt:lpstr>
      <vt:lpstr>LINEA 2 SEGUIMIENTO DEL POAI</vt:lpstr>
      <vt:lpstr>LINEA3 SEGUIMIENTO DE POAI</vt:lpstr>
      <vt:lpstr>LINEA 4 SEGUIMIENTO DEL POAI</vt:lpstr>
      <vt:lpstr>LINEA5 SEGUIMIENTO POAI</vt:lpstr>
      <vt:lpstr>LINEA 6 SEGUIMIENTO DEL POAI</vt:lpstr>
      <vt:lpstr>LINEA7 SEGUIMIENTO DEL POAI </vt:lpstr>
      <vt:lpstr>LINEA8 SEGUIMIENTO DEL POAI</vt:lpstr>
      <vt:lpstr>RESUMEN LINEAS-POAI</vt:lpstr>
      <vt:lpstr>COSOLIDADO POAI</vt:lpstr>
      <vt:lpstr>PRESENTACIÓN</vt:lpstr>
      <vt:lpstr>DESGLOSE LINEA 2</vt:lpstr>
      <vt:lpstr>DESGLOSE LINEA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Avendaño</dc:creator>
  <cp:lastModifiedBy>PLANEACION</cp:lastModifiedBy>
  <cp:lastPrinted>2022-02-24T18:43:11Z</cp:lastPrinted>
  <dcterms:created xsi:type="dcterms:W3CDTF">2019-03-05T16:45:00Z</dcterms:created>
  <dcterms:modified xsi:type="dcterms:W3CDTF">2023-05-05T15:38:02Z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2058-11.2.0.9144</vt:lpwstr>
  </property>
</Properties>
</file>